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935" windowHeight="8445" tabRatio="845" activeTab="0"/>
  </bookViews>
  <sheets>
    <sheet name="Instructions" sheetId="1" r:id="rId1"/>
    <sheet name="Character Sheet p1" sheetId="2" r:id="rId2"/>
    <sheet name="Character Sheet p2" sheetId="3" r:id="rId3"/>
    <sheet name="Arcane Spell Sheet" sheetId="4" r:id="rId4"/>
    <sheet name="Divine Spell Sheet" sheetId="5" r:id="rId5"/>
    <sheet name="Spell database" sheetId="6" r:id="rId6"/>
    <sheet name="Data" sheetId="7" r:id="rId7"/>
  </sheets>
  <definedNames>
    <definedName name="_xlnm._FilterDatabase" localSheetId="5" hidden="1">'Spell database'!$A$2:$V$607</definedName>
    <definedName name="AC" localSheetId="2">'Character Sheet p2'!#REF!</definedName>
    <definedName name="AC">'Character Sheet p1'!$A$22</definedName>
    <definedName name="Bluff">'Character Sheet p1'!$J$41</definedName>
    <definedName name="HandleAnimal">'Character Sheet p1'!$Y$46</definedName>
    <definedName name="Jump">'Character Sheet p1'!$J$52</definedName>
    <definedName name="K_Arcana">'Character Sheet p1'!$Y$52</definedName>
    <definedName name="K_Dungeon">'Character Sheet p1'!$Y$54</definedName>
    <definedName name="K_Local">'Character Sheet p1'!$Y$57</definedName>
    <definedName name="K_Nature">'Character Sheet p1'!$Y$58</definedName>
    <definedName name="K_nobility">'Character Sheet p1'!$Y$59</definedName>
    <definedName name="K_Planes">'Character Sheet p1'!$Y$61</definedName>
    <definedName name="_xlnm.Print_Area" localSheetId="1">'Character Sheet p1'!$A:$AL</definedName>
    <definedName name="_xlnm.Print_Area" localSheetId="2">'Character Sheet p2'!$A$1:$AL$62</definedName>
    <definedName name="Race" localSheetId="2">'Character Sheet p2'!#REF!</definedName>
    <definedName name="Race">'Character Sheet p1'!$AR$28</definedName>
    <definedName name="SenseMotive">'Character Sheet p1'!$J$57</definedName>
    <definedName name="size" localSheetId="2">'Character Sheet p2'!#REF!</definedName>
    <definedName name="size">'Character Sheet p1'!$X$4</definedName>
    <definedName name="size_enc">'Data'!$J$8</definedName>
    <definedName name="size_mod">'Data'!$J$7</definedName>
    <definedName name="Survival">'Character Sheet p1'!$J$59</definedName>
    <definedName name="Tumble">'Character Sheet p1'!$Y$50</definedName>
  </definedNames>
  <calcPr fullCalcOnLoad="1"/>
</workbook>
</file>

<file path=xl/sharedStrings.xml><?xml version="1.0" encoding="utf-8"?>
<sst xmlns="http://schemas.openxmlformats.org/spreadsheetml/2006/main" count="11880" uniqueCount="1464">
  <si>
    <t>Target: Living humanoid touched</t>
  </si>
  <si>
    <t>1d6+2 rnds</t>
  </si>
  <si>
    <t>Targets: Up to three vermin within 30 ft. of each other</t>
  </si>
  <si>
    <t>Glibness</t>
  </si>
  <si>
    <t>S</t>
  </si>
  <si>
    <t>Glitterdust</t>
  </si>
  <si>
    <t>Area: Creatures and objects within 10-ft.-radius spread</t>
  </si>
  <si>
    <t>Globe of Invulnerability</t>
  </si>
  <si>
    <t>Area: 10-ft.-radius spherical emanation, centered on you</t>
  </si>
  <si>
    <t>Globe of Invulnerability, Lesser</t>
  </si>
  <si>
    <t>200gp</t>
  </si>
  <si>
    <t>Glyph of Warding, Greater</t>
  </si>
  <si>
    <t>400gp</t>
  </si>
  <si>
    <t>Good Hope</t>
  </si>
  <si>
    <t>Goodberry</t>
  </si>
  <si>
    <t>Targets: 2d4 fresh berries touched</t>
  </si>
  <si>
    <t>Grasping Hand</t>
  </si>
  <si>
    <t>Strength 7</t>
  </si>
  <si>
    <t>Grease</t>
  </si>
  <si>
    <t>Target or Area: One object or a 10-ft. square</t>
  </si>
  <si>
    <t>Guards and Wards</t>
  </si>
  <si>
    <t>Gust of Wind</t>
  </si>
  <si>
    <t>Effect: Line-shaped gust of severe wind emanating out from you to the extreme of the range</t>
  </si>
  <si>
    <t>Hallow</t>
  </si>
  <si>
    <t>Area: 40-ft. radius emanating from the touched point</t>
  </si>
  <si>
    <t>Hallucinatory Terrain</t>
  </si>
  <si>
    <t>Halt Undead</t>
  </si>
  <si>
    <t>Harm</t>
  </si>
  <si>
    <t>Destruction 6</t>
  </si>
  <si>
    <t>Haste</t>
  </si>
  <si>
    <t>Healing 6</t>
  </si>
  <si>
    <t>Heal Mount</t>
  </si>
  <si>
    <t>Target: Your mount touched</t>
  </si>
  <si>
    <t>Heal, Mass</t>
  </si>
  <si>
    <t>Healing 9</t>
  </si>
  <si>
    <t>Heat Metal</t>
  </si>
  <si>
    <t>Sun 2</t>
  </si>
  <si>
    <t>5 miles</t>
  </si>
  <si>
    <t>Effect: Ghostly hand</t>
  </si>
  <si>
    <t>Heroes' Feast</t>
  </si>
  <si>
    <t>Heroism</t>
  </si>
  <si>
    <t>Heroism, Greater</t>
  </si>
  <si>
    <t>Hide from Animals</t>
  </si>
  <si>
    <t>S, DF</t>
  </si>
  <si>
    <t>Hide from Undead</t>
  </si>
  <si>
    <t>Hideous Laughter</t>
  </si>
  <si>
    <t>Target: One creature; see text</t>
  </si>
  <si>
    <t>Hold Animal</t>
  </si>
  <si>
    <t>Animal 2</t>
  </si>
  <si>
    <t>Hold Monster</t>
  </si>
  <si>
    <t>Law 6</t>
  </si>
  <si>
    <t>Hold Monster, Mass</t>
  </si>
  <si>
    <t>Hold Person, Mass</t>
  </si>
  <si>
    <t>Targets: One or more humanoid creatures within 30 ft. of each other</t>
  </si>
  <si>
    <t>Hold Portal</t>
  </si>
  <si>
    <t>Holy Aura</t>
  </si>
  <si>
    <t>Good 8</t>
  </si>
  <si>
    <t>Holy Smite</t>
  </si>
  <si>
    <t>Good 4</t>
  </si>
  <si>
    <t>Holy Sword</t>
  </si>
  <si>
    <t>Target: Melee weapon touched</t>
  </si>
  <si>
    <t>Holy Word</t>
  </si>
  <si>
    <t>Good 7</t>
  </si>
  <si>
    <t>Area: Nongood creatures in a 40-ft.-radius spread centered on you</t>
  </si>
  <si>
    <t>Horrid Wilting</t>
  </si>
  <si>
    <t>Water 8</t>
  </si>
  <si>
    <t>Targets: Living creatures, within 60 ft. of each other</t>
  </si>
  <si>
    <t>Fortitude half</t>
  </si>
  <si>
    <t>Hypnotic Pattern</t>
  </si>
  <si>
    <t>Effect: Colorful lights in a 10-ft.-radius spread</t>
  </si>
  <si>
    <t>Con. + 2 rnds</t>
  </si>
  <si>
    <t>Hypnotism</t>
  </si>
  <si>
    <t>Area: Several living creatures within 30 ft. of each other</t>
  </si>
  <si>
    <t>2d4 rnds [D]</t>
  </si>
  <si>
    <t>Ice Storm</t>
  </si>
  <si>
    <t>Water 5</t>
  </si>
  <si>
    <t>Area: Cylinder (20-ft. radius, 40 ft. high)</t>
  </si>
  <si>
    <t>Identify</t>
  </si>
  <si>
    <t>Magic 2</t>
  </si>
  <si>
    <t>Targets: One touched object</t>
  </si>
  <si>
    <t>100gp</t>
  </si>
  <si>
    <t>Illusory Script</t>
  </si>
  <si>
    <t>Illusory Wall</t>
  </si>
  <si>
    <t>Effect: Image 1 ft. by 10 ft. by 10 ft.</t>
  </si>
  <si>
    <t>Imbue with Spell Ability</t>
  </si>
  <si>
    <t>Magic 4</t>
  </si>
  <si>
    <t>Target: Creature touched; see text</t>
  </si>
  <si>
    <t>Implosion</t>
  </si>
  <si>
    <t>Destruction 9</t>
  </si>
  <si>
    <t>Targets: One corporeal creature/round</t>
  </si>
  <si>
    <t>Con. (up to 4 rnds)</t>
  </si>
  <si>
    <t>Imprisonment</t>
  </si>
  <si>
    <t>Incendiary Cloud</t>
  </si>
  <si>
    <t>Fire 8</t>
  </si>
  <si>
    <t>Destruction 4</t>
  </si>
  <si>
    <t>Will half</t>
  </si>
  <si>
    <t>Inflict Critical Wounds, Mass</t>
  </si>
  <si>
    <t>Destruction 1</t>
  </si>
  <si>
    <t>Inflict Light Wounds, Mass</t>
  </si>
  <si>
    <t>Destruction 5</t>
  </si>
  <si>
    <t>Inflict Moderate Wounds, Mass</t>
  </si>
  <si>
    <t>Instructions:  Delete any colums you don't need (class columns) - then filter the spell levels using a Custom filter.  Next, type in your caster level in the box on the DATA sheet.  You may wish to mark which spells you know with an x in the Know column.  Then filter only the X with the know column. Finally, copy &amp; paste Values only into the Spell Sheets and format to your liking.</t>
  </si>
  <si>
    <t>Inflict Serious Wounds, Mass</t>
  </si>
  <si>
    <t>Insanity</t>
  </si>
  <si>
    <t>Insect Plague</t>
  </si>
  <si>
    <t>Instant Summons</t>
  </si>
  <si>
    <t>Target: One object weighing 10 lb. or less whose longest dimension is 6 ft. or less</t>
  </si>
  <si>
    <t>Permanent until dis.</t>
  </si>
  <si>
    <t>Interposing Hand</t>
  </si>
  <si>
    <t>Invisibility</t>
  </si>
  <si>
    <t>Trickery 2</t>
  </si>
  <si>
    <t>Invisibility Sphere</t>
  </si>
  <si>
    <t>Area: 10-ft.-radius emanation around the creature or object touched</t>
  </si>
  <si>
    <t>Invisibility, Greater</t>
  </si>
  <si>
    <t>Target: You or creature touched</t>
  </si>
  <si>
    <t>Invisibility, Mass</t>
  </si>
  <si>
    <t>Targets: Any number of creatures, within 180 ft. of each other</t>
  </si>
  <si>
    <t>Iron Body</t>
  </si>
  <si>
    <t>Earth 8</t>
  </si>
  <si>
    <t>Ironwood</t>
  </si>
  <si>
    <t>1 min./lb.</t>
  </si>
  <si>
    <t>Irresistible Dance</t>
  </si>
  <si>
    <t>1d4+1 rnds</t>
  </si>
  <si>
    <t>Keen Edge</t>
  </si>
  <si>
    <t>Targets: One weapon or fifty projectiles in contact with each other</t>
  </si>
  <si>
    <t>Knock</t>
  </si>
  <si>
    <t>Know Direction</t>
  </si>
  <si>
    <t>Legend Lore</t>
  </si>
  <si>
    <t>Knowledge 7</t>
  </si>
  <si>
    <t>Levitate</t>
  </si>
  <si>
    <t>Lightning Bolt</t>
  </si>
  <si>
    <t>120 ft.</t>
  </si>
  <si>
    <t>Area: 120-ft. line</t>
  </si>
  <si>
    <t>Limited Wish</t>
  </si>
  <si>
    <t>V, S, XP</t>
  </si>
  <si>
    <t>300xp</t>
  </si>
  <si>
    <t>Liveoak</t>
  </si>
  <si>
    <t>Target: Tree touched</t>
  </si>
  <si>
    <t>Locate Creature</t>
  </si>
  <si>
    <t>Travel 2</t>
  </si>
  <si>
    <t>Longstrider</t>
  </si>
  <si>
    <t>Travel 1</t>
  </si>
  <si>
    <t>Lullaby</t>
  </si>
  <si>
    <t>Area: Living creatures within a 10-ft.-radius burst</t>
  </si>
  <si>
    <t>Mage Armor</t>
  </si>
  <si>
    <t>Target: One nonmagical, unattended object weighing up to 5 lb.</t>
  </si>
  <si>
    <t>Mage's Disjunction</t>
  </si>
  <si>
    <t>Magic 9</t>
  </si>
  <si>
    <t>Area: All magical effects and magic items within a 40-ft.-radius burst</t>
  </si>
  <si>
    <t>Mage's Faithful Hound</t>
  </si>
  <si>
    <t>Effect: Phantom watchdog</t>
  </si>
  <si>
    <t>Mage's Lucubration</t>
  </si>
  <si>
    <t>Mage's Magnificent Mansion</t>
  </si>
  <si>
    <t>15gp</t>
  </si>
  <si>
    <t>Mage's Private Sanctum</t>
  </si>
  <si>
    <t>24 hours [D]</t>
  </si>
  <si>
    <t>Mage's Sword</t>
  </si>
  <si>
    <t>Effect: One sword</t>
  </si>
  <si>
    <t>Magic Aura</t>
  </si>
  <si>
    <t>Magic 1</t>
  </si>
  <si>
    <t>Law 3</t>
  </si>
  <si>
    <t>Area: 10-ft.-radius emanation from touched creature</t>
  </si>
  <si>
    <t>Good 3</t>
  </si>
  <si>
    <t>Evil 3</t>
  </si>
  <si>
    <t>Chaos 3</t>
  </si>
  <si>
    <t>Magic Fang</t>
  </si>
  <si>
    <t>Magic Fang, Greater</t>
  </si>
  <si>
    <t>Magic Jar</t>
  </si>
  <si>
    <t>Magic Missile</t>
  </si>
  <si>
    <t>Magic Mouth</t>
  </si>
  <si>
    <t>10gp</t>
  </si>
  <si>
    <t>Earth 1</t>
  </si>
  <si>
    <t>Targets: Up to three pebbles touched</t>
  </si>
  <si>
    <t>30 min. or until dis.</t>
  </si>
  <si>
    <t>Strength, War 3</t>
  </si>
  <si>
    <t>Target: Armor or shield touched</t>
  </si>
  <si>
    <t>War 1</t>
  </si>
  <si>
    <t>Magic Weapon, Greater</t>
  </si>
  <si>
    <t>Target: One weapon or fifty projectiles</t>
  </si>
  <si>
    <t>Major Creation</t>
  </si>
  <si>
    <t>Major Image</t>
  </si>
  <si>
    <t>Con. + 3 rnds</t>
  </si>
  <si>
    <t>Mark of Justice</t>
  </si>
  <si>
    <t>Maze</t>
  </si>
  <si>
    <t>Target: One object of up to 1 lb.</t>
  </si>
  <si>
    <t>Message</t>
  </si>
  <si>
    <t>Meteor Swarm</t>
  </si>
  <si>
    <t>Area: Four 40-ft.-radius spreads; see text</t>
  </si>
  <si>
    <t>Mind Blank</t>
  </si>
  <si>
    <t>Protection 8</t>
  </si>
  <si>
    <t>Mind Fog</t>
  </si>
  <si>
    <t>Minor Creation</t>
  </si>
  <si>
    <t>Minor Image</t>
  </si>
  <si>
    <t>Miracle</t>
  </si>
  <si>
    <t>Luck 9</t>
  </si>
  <si>
    <t>Mirage Arcana</t>
  </si>
  <si>
    <t>Mirror Image</t>
  </si>
  <si>
    <t>Misdirection</t>
  </si>
  <si>
    <t>Target: One creature or object, up to a 10-ft. cube in size</t>
  </si>
  <si>
    <t>Mislead</t>
  </si>
  <si>
    <t>Luck, Trickery 6</t>
  </si>
  <si>
    <t>Know?</t>
  </si>
  <si>
    <t>CASTER LEVEL</t>
  </si>
  <si>
    <t>Note:  This area is for calculations and raw data, and will not print out on the Character sheet - please DO NOT edit anything except yellow cells!</t>
  </si>
  <si>
    <t>Level 0</t>
  </si>
  <si>
    <t>Level 1</t>
  </si>
  <si>
    <t>25 ft.</t>
  </si>
  <si>
    <t>Effect: Up to 2 gallons of water</t>
  </si>
  <si>
    <t>Con., up to 1 min. [D]</t>
  </si>
  <si>
    <t>1 min. or until dis.</t>
  </si>
  <si>
    <t>10 min. [D]</t>
  </si>
  <si>
    <t>Target: 1 cu. ft. of contaminated food and water</t>
  </si>
  <si>
    <t>110 ft.</t>
  </si>
  <si>
    <t>1 min. [D]</t>
  </si>
  <si>
    <t>Targets: 1 touched creatures</t>
  </si>
  <si>
    <t>Targets: 1 creatures within 30 ft. of each other</t>
  </si>
  <si>
    <t>1 rnds</t>
  </si>
  <si>
    <t>1 rnds [D]</t>
  </si>
  <si>
    <t>Level 2</t>
  </si>
  <si>
    <t>Con., up to 1 rnds [D]</t>
  </si>
  <si>
    <t>2 hours</t>
  </si>
  <si>
    <t>1 hours</t>
  </si>
  <si>
    <t>1 hour or less</t>
  </si>
  <si>
    <t>1 days</t>
  </si>
  <si>
    <t>Target: One object of up to 10 cu. ft</t>
  </si>
  <si>
    <t>1 hours [D]</t>
  </si>
  <si>
    <t>440 ft.</t>
  </si>
  <si>
    <t>Targets: 0 living creatures touched</t>
  </si>
  <si>
    <t>Area or Target: 5-ft.-radius spread; or 1 solid obj or 1 crystalline creat</t>
  </si>
  <si>
    <t>Area: 20 ft. radius emanation centered on a creat., obj., or point in space</t>
  </si>
  <si>
    <t>Area: The caster and all allies within a 50-ft. burst, centered on caster</t>
  </si>
  <si>
    <t>Domain 1:</t>
  </si>
  <si>
    <t>Domain Ability</t>
  </si>
  <si>
    <t>Lvl</t>
  </si>
  <si>
    <t>Domain 2:</t>
  </si>
  <si>
    <t>Spells Per Day:</t>
  </si>
  <si>
    <t>(4) 3, 2</t>
  </si>
  <si>
    <t>Targets: 1 creatures</t>
  </si>
  <si>
    <t>Target/Effect: You/one illusory double</t>
  </si>
  <si>
    <t>Mnemonic Enhancer</t>
  </si>
  <si>
    <t>Modify Memory</t>
  </si>
  <si>
    <t>Moment of Prescience</t>
  </si>
  <si>
    <t>Luck 8</t>
  </si>
  <si>
    <t>Mount</t>
  </si>
  <si>
    <t>Effect: One mount</t>
  </si>
  <si>
    <t>Move Earth</t>
  </si>
  <si>
    <t>Area: Dirt in an area up to 750 ft. square and up to 10 ft. deep (S)</t>
  </si>
  <si>
    <t>Nightmare</t>
  </si>
  <si>
    <t>Nondetection</t>
  </si>
  <si>
    <t>Trickery 3</t>
  </si>
  <si>
    <t>Target: Creature or object touched</t>
  </si>
  <si>
    <t>8 hours [D]</t>
  </si>
  <si>
    <t>Air, Water 1</t>
  </si>
  <si>
    <t>Effect: Cloud spreads in 20-ft. radius from you, 20 ft. high</t>
  </si>
  <si>
    <t>Target: Object weighing up to 30 lb. or portal that can be opened or closed</t>
  </si>
  <si>
    <t>Order's Wrath</t>
  </si>
  <si>
    <t>Law 4</t>
  </si>
  <si>
    <t>Area: Nonlawful creatures within a burst that fills a 30-ft. cube</t>
  </si>
  <si>
    <t>Overland Flight</t>
  </si>
  <si>
    <t>Owl's Wisdom</t>
  </si>
  <si>
    <t>Owl's Wisdom, Mass</t>
  </si>
  <si>
    <t>Pass without Trace</t>
  </si>
  <si>
    <t>Passwall</t>
  </si>
  <si>
    <t>Permanency</t>
  </si>
  <si>
    <t>2 rnds</t>
  </si>
  <si>
    <t>Permanent Image</t>
  </si>
  <si>
    <t>Persistent Image</t>
  </si>
  <si>
    <t>Phantasmal Killer</t>
  </si>
  <si>
    <t>Phantom Steed</t>
  </si>
  <si>
    <t>Effect: One quasi-real, horselike creature</t>
  </si>
  <si>
    <t>Phase Door</t>
  </si>
  <si>
    <t>Travel 8</t>
  </si>
  <si>
    <t>Planar Ally</t>
  </si>
  <si>
    <t>Effect: 1-2 called elementals or outsiders, totaling no more than 12 HD</t>
  </si>
  <si>
    <t>Planar Ally, Greater</t>
  </si>
  <si>
    <t>Effect: Up to three called elementals or outsiders, totaling no more than 18 HD</t>
  </si>
  <si>
    <t>500xp</t>
  </si>
  <si>
    <t>Planar Ally, Lesser</t>
  </si>
  <si>
    <t>Effect: One called elemental or outsider of 6 HD or less</t>
  </si>
  <si>
    <t>Planar Binding</t>
  </si>
  <si>
    <t>Targets: Up to three elementals or outsiders, totaling no more than 12 HD</t>
  </si>
  <si>
    <t>Planar Binding, Greater</t>
  </si>
  <si>
    <t>Targets: Up to three elementals or outsiders, totaling no more than 18 HD</t>
  </si>
  <si>
    <t>Planar Binding, Lesser</t>
  </si>
  <si>
    <t>Target: One elemental or outsider with 6 HD or less</t>
  </si>
  <si>
    <t>Plane Shift</t>
  </si>
  <si>
    <t>Target: Creature touched, or up to eight willing creatures joining hands</t>
  </si>
  <si>
    <t>Plant Growth</t>
  </si>
  <si>
    <t>Plant 3</t>
  </si>
  <si>
    <t>Polar Ray</t>
  </si>
  <si>
    <t>Polymorph</t>
  </si>
  <si>
    <t>Target: Willing living creature touched</t>
  </si>
  <si>
    <t>Polymorph Any Object</t>
  </si>
  <si>
    <t>Trickery 8</t>
  </si>
  <si>
    <t>Power Word Blind</t>
  </si>
  <si>
    <t>War 7</t>
  </si>
  <si>
    <t>Target: One creature with 200 hp or less</t>
  </si>
  <si>
    <t>Power Word Kill</t>
  </si>
  <si>
    <t>War 9</t>
  </si>
  <si>
    <t>Target: One living creature with 100 hp or less</t>
  </si>
  <si>
    <t>Power Word Stun</t>
  </si>
  <si>
    <t>War 8</t>
  </si>
  <si>
    <t>Target: One creature with 150 hp or less</t>
  </si>
  <si>
    <t>Area: All allies and foes within a 40-ft.-radius burst centered on you</t>
  </si>
  <si>
    <t>Prismatic Sphere</t>
  </si>
  <si>
    <t>Protection, Sun 9</t>
  </si>
  <si>
    <t>Effect: 10-ft.-radius sphere centered on you</t>
  </si>
  <si>
    <t>Prismatic Spray</t>
  </si>
  <si>
    <t>Prismatic Wall</t>
  </si>
  <si>
    <t>Produce Flame</t>
  </si>
  <si>
    <t>Fire 2</t>
  </si>
  <si>
    <t>Effect: Flame in your palm</t>
  </si>
  <si>
    <t>Programmed Image</t>
  </si>
  <si>
    <t>Project Image</t>
  </si>
  <si>
    <t>Effect: One shadow duplicate</t>
  </si>
  <si>
    <t>5gp</t>
  </si>
  <si>
    <t>Protection from Arrows</t>
  </si>
  <si>
    <t>Protection from Chaos</t>
  </si>
  <si>
    <t>Law 1</t>
  </si>
  <si>
    <t>Protection from Energy</t>
  </si>
  <si>
    <t>Luck, Protection 3</t>
  </si>
  <si>
    <t>Protection from Evil</t>
  </si>
  <si>
    <t>Good 1</t>
  </si>
  <si>
    <t>Protection from Good</t>
  </si>
  <si>
    <t>Evil 1</t>
  </si>
  <si>
    <t>Protection from Law</t>
  </si>
  <si>
    <t>Chaos 1</t>
  </si>
  <si>
    <t>Protection from Spells</t>
  </si>
  <si>
    <t>Magic 8</t>
  </si>
  <si>
    <t>Prying Eyes</t>
  </si>
  <si>
    <t>One mile</t>
  </si>
  <si>
    <t>Effect: Ten or more levitating eyes</t>
  </si>
  <si>
    <t>Prying Eyes, Greater</t>
  </si>
  <si>
    <t>Purify Food and Drink</t>
  </si>
  <si>
    <t>Pyrotechnics</t>
  </si>
  <si>
    <t>Target: One fire source, up to a 20-ft. cube</t>
  </si>
  <si>
    <t>Quench</t>
  </si>
  <si>
    <t>None or Will neg. (O)</t>
  </si>
  <si>
    <t>No or Yes (O)</t>
  </si>
  <si>
    <t>Rage</t>
  </si>
  <si>
    <t>Rainbow Pattern</t>
  </si>
  <si>
    <t>Effect: Colorful lights with a 20-ft.-radius spread</t>
  </si>
  <si>
    <t>Raise Dead</t>
  </si>
  <si>
    <t>Target: Dead creature touched</t>
  </si>
  <si>
    <t>5000gp</t>
  </si>
  <si>
    <t>Ray of Enfeeblement</t>
  </si>
  <si>
    <t>Ray of Exhaustion</t>
  </si>
  <si>
    <t>Reduce Animal</t>
  </si>
  <si>
    <t>Target: One willing animal of Small, Medium, Large, or Huge size</t>
  </si>
  <si>
    <t>Reduce Person</t>
  </si>
  <si>
    <t>Reduce Person, Mass</t>
  </si>
  <si>
    <t>Refuge</t>
  </si>
  <si>
    <t>Regenerate</t>
  </si>
  <si>
    <t>Healing 7</t>
  </si>
  <si>
    <t>3 full rnds</t>
  </si>
  <si>
    <t>Reincarnate</t>
  </si>
  <si>
    <t>Target: Creature or item touched</t>
  </si>
  <si>
    <t>Targets: Up to four creatures within 30 ft. of each other</t>
  </si>
  <si>
    <t>Repel Metal or Stone</t>
  </si>
  <si>
    <t>Area: 60 ft. line from you</t>
  </si>
  <si>
    <t>Area: 10 ft. radius emanation centered on you</t>
  </si>
  <si>
    <t>Repel Wood</t>
  </si>
  <si>
    <t>Plant 6</t>
  </si>
  <si>
    <t>Area: 60 ft. line-shaped emanation from you</t>
  </si>
  <si>
    <t>Repulsion</t>
  </si>
  <si>
    <t>Protection 7</t>
  </si>
  <si>
    <t>Resilient Sphere</t>
  </si>
  <si>
    <t>Resist Energy</t>
  </si>
  <si>
    <t>Fire 3</t>
  </si>
  <si>
    <t>Restoration, Greater</t>
  </si>
  <si>
    <t>Restoration, Lesser</t>
  </si>
  <si>
    <t>Resurrection</t>
  </si>
  <si>
    <t>10000gp</t>
  </si>
  <si>
    <t>Reverse Gravity</t>
  </si>
  <si>
    <t>Righteous Might</t>
  </si>
  <si>
    <t>Strength 5</t>
  </si>
  <si>
    <t>Rope Trick</t>
  </si>
  <si>
    <t>Target: One touched piece of rope from 5 ft. to 30 ft. long</t>
  </si>
  <si>
    <t>Rusting Grasp</t>
  </si>
  <si>
    <t>Target: One nonmagical ferrous or creature</t>
  </si>
  <si>
    <t>Protection 1</t>
  </si>
  <si>
    <t>Scare</t>
  </si>
  <si>
    <t>Scintillating Pattern</t>
  </si>
  <si>
    <t>Effect: Colorful lights in a 20-ft.-radius spread</t>
  </si>
  <si>
    <t>Scorching Ray</t>
  </si>
  <si>
    <t>Effect: One or more rays</t>
  </si>
  <si>
    <t>Screen</t>
  </si>
  <si>
    <t>Trickery 7</t>
  </si>
  <si>
    <t>Scrying</t>
  </si>
  <si>
    <t>V, S, M/DF, F</t>
  </si>
  <si>
    <t>see text</t>
  </si>
  <si>
    <t>Scrying, Greater</t>
  </si>
  <si>
    <t>Sculpt Sound</t>
  </si>
  <si>
    <t>Sun 3</t>
  </si>
  <si>
    <t>Secret Chest</t>
  </si>
  <si>
    <t>Sixty days or until dis.</t>
  </si>
  <si>
    <t>Secret Page</t>
  </si>
  <si>
    <t>Target: Page touched, up to 3 sq. ft. in size</t>
  </si>
  <si>
    <t>Secure Shelter</t>
  </si>
  <si>
    <t>Effect: 20 ft. square structure</t>
  </si>
  <si>
    <t>See Invisibility</t>
  </si>
  <si>
    <t>Seeming</t>
  </si>
  <si>
    <t>12 hours [D]</t>
  </si>
  <si>
    <t>Will neg. or Will disbelief</t>
  </si>
  <si>
    <t>Sepia Snake Sigil</t>
  </si>
  <si>
    <t>Target: One touched book or written work</t>
  </si>
  <si>
    <t>Sequester</t>
  </si>
  <si>
    <t>Shades</t>
  </si>
  <si>
    <t>Shadow Conjuration</t>
  </si>
  <si>
    <t>Shadow Conjuration, Greater</t>
  </si>
  <si>
    <t>Shadow Evocation</t>
  </si>
  <si>
    <t>Shadow Evocation, Greater</t>
  </si>
  <si>
    <t>Shadow Walk</t>
  </si>
  <si>
    <t>Shambler</t>
  </si>
  <si>
    <t>Plant 9</t>
  </si>
  <si>
    <t>Effect: Three or more shambling mounds within 30 ft. of each other; see text</t>
  </si>
  <si>
    <t>Shapechange</t>
  </si>
  <si>
    <t>Animal 9</t>
  </si>
  <si>
    <t>Chaos, Destruction 2</t>
  </si>
  <si>
    <t>Area or Target: 5-ft.-radius spread; or one solid object or one crystalline creature</t>
  </si>
  <si>
    <t>Shield of Law</t>
  </si>
  <si>
    <t>Law 8</t>
  </si>
  <si>
    <t>Protection 2</t>
  </si>
  <si>
    <t>Shillelagh</t>
  </si>
  <si>
    <t>Target: One touched nonmagical oak club or quarterstaff</t>
  </si>
  <si>
    <t>Shocking Grasp</t>
  </si>
  <si>
    <t>Shout</t>
  </si>
  <si>
    <t>Shout, Greater</t>
  </si>
  <si>
    <t>Shrink Item</t>
  </si>
  <si>
    <t>Area: 20 ft. radius emanation centered on a creature, object, or point in space</t>
  </si>
  <si>
    <t>Silent Image</t>
  </si>
  <si>
    <t>Simulacrum</t>
  </si>
  <si>
    <t>V, S, M, XP</t>
  </si>
  <si>
    <t>12 hours</t>
  </si>
  <si>
    <t>Effect: One duplicate creature</t>
  </si>
  <si>
    <t>Slay Living</t>
  </si>
  <si>
    <t>Death 5</t>
  </si>
  <si>
    <t>Sleep</t>
  </si>
  <si>
    <t>Sleet Storm</t>
  </si>
  <si>
    <t>Area: Cylinder (40-ft. radius, 20 ft. high)</t>
  </si>
  <si>
    <t>Slow</t>
  </si>
  <si>
    <t>Snare</t>
  </si>
  <si>
    <t>Until triggered or broken</t>
  </si>
  <si>
    <t>Soften Earth and Stone</t>
  </si>
  <si>
    <t>Earth 2</t>
  </si>
  <si>
    <t>Solid Fog</t>
  </si>
  <si>
    <t>Song of Discord</t>
  </si>
  <si>
    <t>Area: Creatures within a 20-ft.-radius spread</t>
  </si>
  <si>
    <t>Soul Bind</t>
  </si>
  <si>
    <t>Target: Corpse</t>
  </si>
  <si>
    <t>Area: 10-ft.-radius spread</t>
  </si>
  <si>
    <t>Target: One dead creature</t>
  </si>
  <si>
    <t>Spectral Hand</t>
  </si>
  <si>
    <t>Effect: One spectral hand</t>
  </si>
  <si>
    <t>Protection, Strength 4</t>
  </si>
  <si>
    <t>Spell Immunity, Greater</t>
  </si>
  <si>
    <t>Spell Resistance</t>
  </si>
  <si>
    <t>Magic, Protection 5</t>
  </si>
  <si>
    <t>Spell Turning</t>
  </si>
  <si>
    <t>Luck, Magic 7</t>
  </si>
  <si>
    <t>Spellstaff</t>
  </si>
  <si>
    <t>Target: Wooden quarterstaff touched</t>
  </si>
  <si>
    <t>Spider Climb</t>
  </si>
  <si>
    <t>Spike Growth</t>
  </si>
  <si>
    <t>Reflex partial</t>
  </si>
  <si>
    <t>Spike Stones</t>
  </si>
  <si>
    <t>Earth 4</t>
  </si>
  <si>
    <t>War 2</t>
  </si>
  <si>
    <t>Effect: Magic weapon of force</t>
  </si>
  <si>
    <t>Statue</t>
  </si>
  <si>
    <t>Stinking Cloud</t>
  </si>
  <si>
    <t>Earth 3</t>
  </si>
  <si>
    <t>Stone Tell</t>
  </si>
  <si>
    <t>Stone to Flesh</t>
  </si>
  <si>
    <t>Target: One petrified creature or a cylinder of stone (see text)</t>
  </si>
  <si>
    <t>Stoneskin</t>
  </si>
  <si>
    <t>Earth, Strength 6</t>
  </si>
  <si>
    <t>Storm of Vengeance</t>
  </si>
  <si>
    <t>Effect: 360-ft.-radius storm cloud</t>
  </si>
  <si>
    <t>Con. (max 10 rnds) [D]</t>
  </si>
  <si>
    <t>Suggestion</t>
  </si>
  <si>
    <t>Suggestion, Mass</t>
  </si>
  <si>
    <t>Summon Instrument</t>
  </si>
  <si>
    <t>Effect: One summoned handheld musical instrument</t>
  </si>
  <si>
    <t>Effect: One summoned creature</t>
  </si>
  <si>
    <t>Effect: One or more summoned creatures within 30 ft. of each other</t>
  </si>
  <si>
    <t>Summon Monster IX</t>
  </si>
  <si>
    <t>Chaos, Evil, Good, Law 9</t>
  </si>
  <si>
    <t>Summon Monster V</t>
  </si>
  <si>
    <t>Summon Monster VI</t>
  </si>
  <si>
    <t>Summon Monster VII</t>
  </si>
  <si>
    <t>Summon Monster VIII</t>
  </si>
  <si>
    <t>Summon Nature's Ally I</t>
  </si>
  <si>
    <t>Summon Nature's Ally II</t>
  </si>
  <si>
    <t>Effect: One or more creatures within 30 ft. of each other</t>
  </si>
  <si>
    <t>Summon Nature's Ally III</t>
  </si>
  <si>
    <t>Summon Nature's Ally IV</t>
  </si>
  <si>
    <t>Animal 4</t>
  </si>
  <si>
    <t>Summon Nature's Ally IX</t>
  </si>
  <si>
    <t>Summon Nature's Ally V</t>
  </si>
  <si>
    <t>Summon Nature's Ally VI</t>
  </si>
  <si>
    <t>Summon Nature's Ally VII</t>
  </si>
  <si>
    <t>Summon Nature's Ally VIII</t>
  </si>
  <si>
    <t>Animal 8</t>
  </si>
  <si>
    <t>Summon Swarm</t>
  </si>
  <si>
    <t>Effect: One swarm of bats, rats, or spiders</t>
  </si>
  <si>
    <t>Sunbeam</t>
  </si>
  <si>
    <t>Sun 7</t>
  </si>
  <si>
    <t>Area: Line from your hand</t>
  </si>
  <si>
    <t>Sunburst</t>
  </si>
  <si>
    <t>Sun 8</t>
  </si>
  <si>
    <t>Area: 80-ft.-radius burst</t>
  </si>
  <si>
    <t>Symbol of Death</t>
  </si>
  <si>
    <t>Effect: One symbol</t>
  </si>
  <si>
    <t>Symbol of Fear</t>
  </si>
  <si>
    <t>Symbol of Insanity</t>
  </si>
  <si>
    <t>Symbol of Pain</t>
  </si>
  <si>
    <t>Symbol of Persuasion</t>
  </si>
  <si>
    <t>Symbol of Sleep</t>
  </si>
  <si>
    <t>Symbol of Stunning</t>
  </si>
  <si>
    <t>Symbol of Weakness</t>
  </si>
  <si>
    <t>Sympathetic Vibration</t>
  </si>
  <si>
    <t>Target: One freestanding structure</t>
  </si>
  <si>
    <t>Sympathy</t>
  </si>
  <si>
    <t>Telekinesis</t>
  </si>
  <si>
    <t>Telekinetic Sphere</t>
  </si>
  <si>
    <t>Reflex neg. (O)</t>
  </si>
  <si>
    <t>Telepathic Bond</t>
  </si>
  <si>
    <t>Teleport</t>
  </si>
  <si>
    <t>Travel 5</t>
  </si>
  <si>
    <t>Teleport Object</t>
  </si>
  <si>
    <t>Teleport, Greater</t>
  </si>
  <si>
    <t>Travel 7</t>
  </si>
  <si>
    <t>Teleportation Circle</t>
  </si>
  <si>
    <t>Effect: 5-ft.-radius circle that teleports those who activate it</t>
  </si>
  <si>
    <t>Temporal Stasis</t>
  </si>
  <si>
    <t>Time Stop</t>
  </si>
  <si>
    <t>Trickery 9</t>
  </si>
  <si>
    <t>Tiny Hut</t>
  </si>
  <si>
    <t>Effect: 20-ft.-radius sphere centered on your location</t>
  </si>
  <si>
    <t>Touch of Fatigue</t>
  </si>
  <si>
    <t>Touch of Idiocy</t>
  </si>
  <si>
    <t>Transformation</t>
  </si>
  <si>
    <t>Transmute Metal to Wood</t>
  </si>
  <si>
    <t>Area: All metal objects within a 40-ft.-radius burst</t>
  </si>
  <si>
    <t>Transmute Mud to Rock</t>
  </si>
  <si>
    <t>Transmute Rock to Mud</t>
  </si>
  <si>
    <t>Transport via Plants</t>
  </si>
  <si>
    <t>Trap</t>
  </si>
  <si>
    <t>Trap the Soul</t>
  </si>
  <si>
    <t>Tree Shape</t>
  </si>
  <si>
    <t>Tree Stride</t>
  </si>
  <si>
    <t>True Resurrection</t>
  </si>
  <si>
    <t>25000gp</t>
  </si>
  <si>
    <t>True Seeing</t>
  </si>
  <si>
    <t>Knowledge 5</t>
  </si>
  <si>
    <t>True Strike</t>
  </si>
  <si>
    <t>V, F</t>
  </si>
  <si>
    <t>Undeath to Death</t>
  </si>
  <si>
    <t>Area: Several undead creatures within a 40-ft.-radius burst</t>
  </si>
  <si>
    <t>Unhallow</t>
  </si>
  <si>
    <t>Unholy Aura</t>
  </si>
  <si>
    <t>Evil 8</t>
  </si>
  <si>
    <t>Unholy Blight</t>
  </si>
  <si>
    <t>Evil 4</t>
  </si>
  <si>
    <t>Unseen Servant</t>
  </si>
  <si>
    <t>Effect: One invisible, mindless, shapeless servant</t>
  </si>
  <si>
    <t>Vampiric Touch</t>
  </si>
  <si>
    <t>Veil</t>
  </si>
  <si>
    <t>Ventriloquism</t>
  </si>
  <si>
    <t>Effect: Intelligible sound, usually speech</t>
  </si>
  <si>
    <t>Vision</t>
  </si>
  <si>
    <t>Wail of the Banshee</t>
  </si>
  <si>
    <t>Death 9</t>
  </si>
  <si>
    <t>Wall of Fire</t>
  </si>
  <si>
    <t>Fire 4</t>
  </si>
  <si>
    <t>Wall of Force</t>
  </si>
  <si>
    <t>Wall of Ice</t>
  </si>
  <si>
    <t>Wall of Iron</t>
  </si>
  <si>
    <t>Wall of Stone</t>
  </si>
  <si>
    <t>Earth 5</t>
  </si>
  <si>
    <t>Wall of Thorns</t>
  </si>
  <si>
    <t>Plant 5</t>
  </si>
  <si>
    <t>Warp Wood</t>
  </si>
  <si>
    <t>Water 3</t>
  </si>
  <si>
    <t>Target: Living creatures touched</t>
  </si>
  <si>
    <t>Waves of Exhaustion</t>
  </si>
  <si>
    <t>Waves of Fatigue</t>
  </si>
  <si>
    <t>Web</t>
  </si>
  <si>
    <t>Effect: Webs in a 20-ft.-radius spread</t>
  </si>
  <si>
    <t>Weird</t>
  </si>
  <si>
    <t>Targets: Any number of creatures within 30 ft. of each other</t>
  </si>
  <si>
    <t>Whirlwind</t>
  </si>
  <si>
    <t>Air 8</t>
  </si>
  <si>
    <t>Effect: Cyclone 10 ft. wide at base, 30 ft. wide at top, and 30 ft. tall</t>
  </si>
  <si>
    <t>Whispering Wind</t>
  </si>
  <si>
    <t>Wind Walk</t>
  </si>
  <si>
    <t>No and Will neg. (H)</t>
  </si>
  <si>
    <t>No and Yes (H)</t>
  </si>
  <si>
    <t>Air 2</t>
  </si>
  <si>
    <t>Wish</t>
  </si>
  <si>
    <t>V, XP</t>
  </si>
  <si>
    <t>5000xp</t>
  </si>
  <si>
    <t>Wood Shape</t>
  </si>
  <si>
    <t>Word of Chaos</t>
  </si>
  <si>
    <t>Chaos 7</t>
  </si>
  <si>
    <t>Area: Nonchaotic creatures in a 40-ft.- radius spread centered on you</t>
  </si>
  <si>
    <t>Word of Recall</t>
  </si>
  <si>
    <t>Target: You and touched objects or other willing creatures</t>
  </si>
  <si>
    <t>None or Will neg. (H, O)</t>
  </si>
  <si>
    <t>No or Yes (H, O)</t>
  </si>
  <si>
    <t>Zone of Silence</t>
  </si>
  <si>
    <t>Area: 5-ft.-radius emanation centered on you</t>
  </si>
  <si>
    <t>Player's Name:</t>
  </si>
  <si>
    <t>Homeland:</t>
  </si>
  <si>
    <t>Sex:</t>
  </si>
  <si>
    <t>Age:</t>
  </si>
  <si>
    <t>Ht:</t>
  </si>
  <si>
    <t>Wt:</t>
  </si>
  <si>
    <t>STR</t>
  </si>
  <si>
    <t>DEX</t>
  </si>
  <si>
    <t>CON</t>
  </si>
  <si>
    <t>INT</t>
  </si>
  <si>
    <t>WIS</t>
  </si>
  <si>
    <t>CHA</t>
  </si>
  <si>
    <t>AC</t>
  </si>
  <si>
    <t>Mod</t>
  </si>
  <si>
    <t>Weapon</t>
  </si>
  <si>
    <t>Size</t>
  </si>
  <si>
    <t>Type</t>
  </si>
  <si>
    <t>Special Attacks:</t>
  </si>
  <si>
    <t>Wt.</t>
  </si>
  <si>
    <t>(Con)</t>
  </si>
  <si>
    <t>(Dex)</t>
  </si>
  <si>
    <t>(Wis)</t>
  </si>
  <si>
    <t>Total</t>
  </si>
  <si>
    <t>Armor Worn</t>
  </si>
  <si>
    <t>Misc</t>
  </si>
  <si>
    <t>Special Properties</t>
  </si>
  <si>
    <t>Rank</t>
  </si>
  <si>
    <t>Dex</t>
  </si>
  <si>
    <t>Check</t>
  </si>
  <si>
    <t>Total:</t>
  </si>
  <si>
    <t>Move</t>
  </si>
  <si>
    <t>Spell</t>
  </si>
  <si>
    <t>Light</t>
  </si>
  <si>
    <t>Run</t>
  </si>
  <si>
    <t>Special Defenses:</t>
  </si>
  <si>
    <t>Attack Bonuses</t>
  </si>
  <si>
    <t>Encu.</t>
  </si>
  <si>
    <t>SKILL</t>
  </si>
  <si>
    <t>Appraise</t>
  </si>
  <si>
    <t>Bluff</t>
  </si>
  <si>
    <t>Concentration</t>
  </si>
  <si>
    <t>Diplomacy</t>
  </si>
  <si>
    <t>Disguise</t>
  </si>
  <si>
    <t>Gather Information</t>
  </si>
  <si>
    <t>Escape Artist*</t>
  </si>
  <si>
    <t>Heal</t>
  </si>
  <si>
    <t>Intimidate</t>
  </si>
  <si>
    <t>Jump *</t>
  </si>
  <si>
    <t>Move Silently *</t>
  </si>
  <si>
    <t>Ride</t>
  </si>
  <si>
    <t xml:space="preserve">Search </t>
  </si>
  <si>
    <t>Spot</t>
  </si>
  <si>
    <t>Swim</t>
  </si>
  <si>
    <t>Forgery</t>
  </si>
  <si>
    <t>Climb*</t>
  </si>
  <si>
    <t>Hide *</t>
  </si>
  <si>
    <t>Use Rope</t>
  </si>
  <si>
    <t>Decipher Script</t>
  </si>
  <si>
    <t>Disable Device</t>
  </si>
  <si>
    <t>Handle Animal</t>
  </si>
  <si>
    <t>Open Lock</t>
  </si>
  <si>
    <t>Spellcraft</t>
  </si>
  <si>
    <t>Use Magic Device</t>
  </si>
  <si>
    <t>Tumble*</t>
  </si>
  <si>
    <t>Trained Only</t>
  </si>
  <si>
    <t>+1</t>
  </si>
  <si>
    <t>-3</t>
  </si>
  <si>
    <t>-6</t>
  </si>
  <si>
    <t>x4</t>
  </si>
  <si>
    <t>x3</t>
  </si>
  <si>
    <t>0</t>
  </si>
  <si>
    <t>Balance*</t>
  </si>
  <si>
    <t xml:space="preserve">Listen </t>
  </si>
  <si>
    <t>Sense Motive</t>
  </si>
  <si>
    <t>Size:</t>
  </si>
  <si>
    <t>Score</t>
  </si>
  <si>
    <t>Tmp</t>
  </si>
  <si>
    <t>Abil</t>
  </si>
  <si>
    <t>Max Press</t>
  </si>
  <si>
    <t>Max Lift</t>
  </si>
  <si>
    <t>Max Pull</t>
  </si>
  <si>
    <t>Initiative</t>
  </si>
  <si>
    <t xml:space="preserve">Hair: </t>
  </si>
  <si>
    <t>Class</t>
  </si>
  <si>
    <t>Damage</t>
  </si>
  <si>
    <t>Critical</t>
  </si>
  <si>
    <t xml:space="preserve">Melee Attacks: </t>
  </si>
  <si>
    <t xml:space="preserve">Missile Attacks: </t>
  </si>
  <si>
    <t xml:space="preserve">  1:</t>
  </si>
  <si>
    <t xml:space="preserve">  2:</t>
  </si>
  <si>
    <t xml:space="preserve">  3:</t>
  </si>
  <si>
    <t xml:space="preserve">  4:</t>
  </si>
  <si>
    <t xml:space="preserve">  5:</t>
  </si>
  <si>
    <t xml:space="preserve">  Racial Modifier</t>
  </si>
  <si>
    <t xml:space="preserve">  Effective Level</t>
  </si>
  <si>
    <t xml:space="preserve"> Type</t>
  </si>
  <si>
    <t xml:space="preserve"> Fortitude</t>
  </si>
  <si>
    <t xml:space="preserve"> Special Save Modifiers</t>
  </si>
  <si>
    <t xml:space="preserve"> Will</t>
  </si>
  <si>
    <t>Alignment:</t>
  </si>
  <si>
    <t>Craft:</t>
  </si>
  <si>
    <t>Ability</t>
  </si>
  <si>
    <t>ABILITY SCORES</t>
  </si>
  <si>
    <t>CLASSES</t>
  </si>
  <si>
    <t>LVL</t>
  </si>
  <si>
    <t>SAVING THROWS</t>
  </si>
  <si>
    <t>CHARACTER INFORMATION:</t>
  </si>
  <si>
    <t>XP Penalty</t>
  </si>
  <si>
    <t>Current XP</t>
  </si>
  <si>
    <t>HIT POINTS</t>
  </si>
  <si>
    <t>Heavy</t>
  </si>
  <si>
    <t>=</t>
  </si>
  <si>
    <t>Flat-Footed</t>
  </si>
  <si>
    <t>Shieldless</t>
  </si>
  <si>
    <t>BAB</t>
  </si>
  <si>
    <t>Range</t>
  </si>
  <si>
    <t>FEATS</t>
  </si>
  <si>
    <t>LANGUAGES</t>
  </si>
  <si>
    <t xml:space="preserve"> Reflex</t>
  </si>
  <si>
    <t>Racial:</t>
  </si>
  <si>
    <t>Class:</t>
  </si>
  <si>
    <t>Other:</t>
  </si>
  <si>
    <t>Qty.</t>
  </si>
  <si>
    <t>Used</t>
  </si>
  <si>
    <t xml:space="preserve">Grand Total Weight:  </t>
  </si>
  <si>
    <t xml:space="preserve">Spell level  </t>
  </si>
  <si>
    <t>9+</t>
  </si>
  <si>
    <t xml:space="preserve">Class  </t>
  </si>
  <si>
    <t xml:space="preserve">Bonus  </t>
  </si>
  <si>
    <t xml:space="preserve">Ability Mod  </t>
  </si>
  <si>
    <t xml:space="preserve">Total  </t>
  </si>
  <si>
    <t>Total bonus</t>
  </si>
  <si>
    <t>Str</t>
  </si>
  <si>
    <t>* = armor check / encumbrance penalties apply</t>
  </si>
  <si>
    <t>Backpack</t>
  </si>
  <si>
    <t xml:space="preserve"> + spell lvl</t>
  </si>
  <si>
    <t>Armor &amp; Shield</t>
  </si>
  <si>
    <t>Weapons</t>
  </si>
  <si>
    <t>Size mod AC/hit</t>
  </si>
  <si>
    <t>Size mod Encumb</t>
  </si>
  <si>
    <t>Dwarf</t>
  </si>
  <si>
    <t>Elf</t>
  </si>
  <si>
    <t>Gnome</t>
  </si>
  <si>
    <t>Halfling</t>
  </si>
  <si>
    <t>Half-Elf</t>
  </si>
  <si>
    <t>Human</t>
  </si>
  <si>
    <t>Half-Orc</t>
  </si>
  <si>
    <t>Gold Dwarf</t>
  </si>
  <si>
    <t>Shield Dwarf</t>
  </si>
  <si>
    <t>Duergar</t>
  </si>
  <si>
    <t>Moon Elf</t>
  </si>
  <si>
    <t>Wood Elf</t>
  </si>
  <si>
    <t>Svirfneblin</t>
  </si>
  <si>
    <t>Strongheart Halfling</t>
  </si>
  <si>
    <t>Ghostwise Halfling</t>
  </si>
  <si>
    <t>Aasimar</t>
  </si>
  <si>
    <t>Tiefling</t>
  </si>
  <si>
    <t>Air Genasi</t>
  </si>
  <si>
    <t>Earth Genasi</t>
  </si>
  <si>
    <t>Fire Genasi</t>
  </si>
  <si>
    <t>Water Genasi</t>
  </si>
  <si>
    <t>Hobgoblin</t>
  </si>
  <si>
    <t>Goblin</t>
  </si>
  <si>
    <t>Orc</t>
  </si>
  <si>
    <t>Subrace</t>
  </si>
  <si>
    <t>Drow Elf</t>
  </si>
  <si>
    <t>Medium</t>
  </si>
  <si>
    <t>Small</t>
  </si>
  <si>
    <t>Kobold</t>
  </si>
  <si>
    <t>Caliban</t>
  </si>
  <si>
    <t>Climb</t>
  </si>
  <si>
    <t>Wild Elf</t>
  </si>
  <si>
    <t>Lightfoot Halfling</t>
  </si>
  <si>
    <t>Gnoll</t>
  </si>
  <si>
    <t>Hide</t>
  </si>
  <si>
    <t>Jump</t>
  </si>
  <si>
    <t>Listen</t>
  </si>
  <si>
    <t>MS</t>
  </si>
  <si>
    <t>Ogre</t>
  </si>
  <si>
    <t>Large</t>
  </si>
  <si>
    <t>Search</t>
  </si>
  <si>
    <t>(Custom race)</t>
  </si>
  <si>
    <t>Spell Name</t>
  </si>
  <si>
    <t>Duration</t>
  </si>
  <si>
    <t>Save</t>
  </si>
  <si>
    <t>Arcane Mark</t>
  </si>
  <si>
    <t>Touch</t>
  </si>
  <si>
    <t>Permanent</t>
  </si>
  <si>
    <t>No</t>
  </si>
  <si>
    <t>Dancing Lights</t>
  </si>
  <si>
    <t>Daze</t>
  </si>
  <si>
    <t>Ench</t>
  </si>
  <si>
    <t>Yes</t>
  </si>
  <si>
    <t>Detect Magic</t>
  </si>
  <si>
    <t>Flare</t>
  </si>
  <si>
    <t>Ghost Sound</t>
  </si>
  <si>
    <t>Mage Hand</t>
  </si>
  <si>
    <t>Mending</t>
  </si>
  <si>
    <t>Trans</t>
  </si>
  <si>
    <t>Open/Close</t>
  </si>
  <si>
    <t>Prestidigitation</t>
  </si>
  <si>
    <t>Ray of Frost</t>
  </si>
  <si>
    <t>Conj</t>
  </si>
  <si>
    <t>Read Magic</t>
  </si>
  <si>
    <t>Personal</t>
  </si>
  <si>
    <t>Resistance</t>
  </si>
  <si>
    <t>Obscuring Mist</t>
  </si>
  <si>
    <t>Create Water</t>
  </si>
  <si>
    <t>Cure Minor Wounds</t>
  </si>
  <si>
    <t>Div</t>
  </si>
  <si>
    <t>Detect Poison</t>
  </si>
  <si>
    <t>Guidance</t>
  </si>
  <si>
    <t>Inflict Minor Wounds</t>
  </si>
  <si>
    <t>Necro</t>
  </si>
  <si>
    <t>Virtue</t>
  </si>
  <si>
    <t>Bane</t>
  </si>
  <si>
    <t>Bless</t>
  </si>
  <si>
    <t>Bless Water</t>
  </si>
  <si>
    <t>Cause Fear</t>
  </si>
  <si>
    <t>Command</t>
  </si>
  <si>
    <t>Comprehend Languages</t>
  </si>
  <si>
    <t>Cure Light Wounds</t>
  </si>
  <si>
    <t>Curse Water</t>
  </si>
  <si>
    <t>Deathwatch</t>
  </si>
  <si>
    <t>Detect Chaos</t>
  </si>
  <si>
    <t>Detect Evil</t>
  </si>
  <si>
    <t>Detect Good</t>
  </si>
  <si>
    <t>Detect Law</t>
  </si>
  <si>
    <t>Divine Favor</t>
  </si>
  <si>
    <t>Doom</t>
  </si>
  <si>
    <t>Endure Elements</t>
  </si>
  <si>
    <t>Entropic Shield</t>
  </si>
  <si>
    <t>Abj</t>
  </si>
  <si>
    <t>Inflict Light Wounds</t>
  </si>
  <si>
    <t>Magic Stone</t>
  </si>
  <si>
    <t>Magic Weapon</t>
  </si>
  <si>
    <t>Remove Fear</t>
  </si>
  <si>
    <t>Sanctuary</t>
  </si>
  <si>
    <t>Shield of Faith</t>
  </si>
  <si>
    <t>Summon Monster I</t>
  </si>
  <si>
    <t>Aid</t>
  </si>
  <si>
    <t>Animal Messenger</t>
  </si>
  <si>
    <t>Augury</t>
  </si>
  <si>
    <t>Bull's Strength</t>
  </si>
  <si>
    <t>Calm Emotions</t>
  </si>
  <si>
    <t>Consecrate</t>
  </si>
  <si>
    <t>Cure Moderate Wounds</t>
  </si>
  <si>
    <t>Darkness</t>
  </si>
  <si>
    <t>Death Knell</t>
  </si>
  <si>
    <t>Delay Poison</t>
  </si>
  <si>
    <t>Desecrate</t>
  </si>
  <si>
    <t>Enthrall</t>
  </si>
  <si>
    <t>Find Traps</t>
  </si>
  <si>
    <t>Gentle Repose</t>
  </si>
  <si>
    <t>Hold Person</t>
  </si>
  <si>
    <t>Inflict Moderate Wounds</t>
  </si>
  <si>
    <t>Make Whole</t>
  </si>
  <si>
    <t>Remove Paralysis</t>
  </si>
  <si>
    <t>Shatter</t>
  </si>
  <si>
    <t>Shield Other</t>
  </si>
  <si>
    <t>Silence</t>
  </si>
  <si>
    <t>Sound Burst</t>
  </si>
  <si>
    <t>Speak with Animals</t>
  </si>
  <si>
    <t>Spiritual Weapon</t>
  </si>
  <si>
    <t>Summon Monster II</t>
  </si>
  <si>
    <t>Undetectable Alignment</t>
  </si>
  <si>
    <t>Zone of Truth</t>
  </si>
  <si>
    <t>Animate Dead</t>
  </si>
  <si>
    <t>Bestow Curse</t>
  </si>
  <si>
    <t>Contagion</t>
  </si>
  <si>
    <t>Continual Flame</t>
  </si>
  <si>
    <t>Create Food and Water</t>
  </si>
  <si>
    <t>Cure Serious Wounds</t>
  </si>
  <si>
    <t>Daylight</t>
  </si>
  <si>
    <t>Deeper Darkness</t>
  </si>
  <si>
    <t>Dispel Magic</t>
  </si>
  <si>
    <t>Glyph of Warding</t>
  </si>
  <si>
    <t>Helping Hand</t>
  </si>
  <si>
    <t>Inflict Serious Wounds</t>
  </si>
  <si>
    <t>Invisibility Purge</t>
  </si>
  <si>
    <t>Locate Object</t>
  </si>
  <si>
    <t>Magic Circle against Chaos</t>
  </si>
  <si>
    <t>Magic Circle against Evil</t>
  </si>
  <si>
    <t>Magic Circle against Good</t>
  </si>
  <si>
    <t>Magic Circle against Law</t>
  </si>
  <si>
    <t>Magic Vestment</t>
  </si>
  <si>
    <t>Meld into Stone</t>
  </si>
  <si>
    <t>Obscure Object</t>
  </si>
  <si>
    <t>Prayer</t>
  </si>
  <si>
    <t>Remove Blindness/Deafness</t>
  </si>
  <si>
    <t>Remove Curse</t>
  </si>
  <si>
    <t>Remove Disease</t>
  </si>
  <si>
    <t>Searing Light</t>
  </si>
  <si>
    <t>Speak with Dead</t>
  </si>
  <si>
    <t>Speak with Plants</t>
  </si>
  <si>
    <t>Stone Shape</t>
  </si>
  <si>
    <t>Summon Monster III</t>
  </si>
  <si>
    <t>Water Breathing</t>
  </si>
  <si>
    <t>Water Walk</t>
  </si>
  <si>
    <t>Wind Wall</t>
  </si>
  <si>
    <t>Air Walk</t>
  </si>
  <si>
    <t>Control Water</t>
  </si>
  <si>
    <t>Cure Critical Wounds</t>
  </si>
  <si>
    <t>Death Ward</t>
  </si>
  <si>
    <t>Dimensional Anchor</t>
  </si>
  <si>
    <t>Discern Lies</t>
  </si>
  <si>
    <t>Dismissal</t>
  </si>
  <si>
    <t>Divination</t>
  </si>
  <si>
    <t>Divine Power</t>
  </si>
  <si>
    <t>Freedom of Movement</t>
  </si>
  <si>
    <t>Giant Vermin</t>
  </si>
  <si>
    <t>Inflict Critical Wounds</t>
  </si>
  <si>
    <t>Neutralize Poison</t>
  </si>
  <si>
    <t>Poison</t>
  </si>
  <si>
    <t>Repel Vermin</t>
  </si>
  <si>
    <t>Restoration</t>
  </si>
  <si>
    <t>Sending</t>
  </si>
  <si>
    <t>Spell Immunity</t>
  </si>
  <si>
    <t>Status</t>
  </si>
  <si>
    <t>Summon Monster IV</t>
  </si>
  <si>
    <t>Tongues</t>
  </si>
  <si>
    <t>I would recommend printing on cardstock.  It holds the ink better and doesn’t bleed much.  I would print the first page, then print the second page on the back of the paper.  That way, you have only 1 sheet for your character.</t>
  </si>
  <si>
    <t>ECL</t>
  </si>
  <si>
    <t>Races supported are: all races in the PHB  and Forgotten Realms book.</t>
  </si>
  <si>
    <t xml:space="preserve">Custom Race Skill mods:  </t>
  </si>
  <si>
    <t>If you want to enter custom information in the race cell, you have to input the custom race in the list to the right of the first character sheet (AP63 - the cell is yellow).  Then you need to enter its skill and ECL adjustments on the Data Sheet (L35 &amp; L36 - these cells are also yellow).  Size is likewise alterable on the Data sheet.</t>
  </si>
  <si>
    <t>Misc Info:</t>
  </si>
  <si>
    <t>Med</t>
  </si>
  <si>
    <t>Hvy</t>
  </si>
  <si>
    <t>Disrupt Undead</t>
  </si>
  <si>
    <t>C</t>
  </si>
  <si>
    <t>CC</t>
  </si>
  <si>
    <t>Lang</t>
  </si>
  <si>
    <t>Pool</t>
  </si>
  <si>
    <t>Skill Point Summary</t>
  </si>
  <si>
    <t>Total spent</t>
  </si>
  <si>
    <t>Left to spend</t>
  </si>
  <si>
    <t>ENCUMBRANCE / MOVEMENT</t>
  </si>
  <si>
    <t xml:space="preserve">Eyes: </t>
  </si>
  <si>
    <t xml:space="preserve"> Religion: </t>
  </si>
  <si>
    <t xml:space="preserve">Race: </t>
  </si>
  <si>
    <t>SPECIAL ABILITIES</t>
  </si>
  <si>
    <t>SPELLS / DAY</t>
  </si>
  <si>
    <t>Enc</t>
  </si>
  <si>
    <t>Base Str</t>
  </si>
  <si>
    <t>Temp Str</t>
  </si>
  <si>
    <t>Chk</t>
  </si>
  <si>
    <t>Max Dex</t>
  </si>
  <si>
    <t xml:space="preserve">Spell DC: </t>
  </si>
  <si>
    <t>WEALTH</t>
  </si>
  <si>
    <t>MISC</t>
  </si>
  <si>
    <t>ARMOR &amp; PROTECTION</t>
  </si>
  <si>
    <t>Items</t>
  </si>
  <si>
    <t>Traveler's Outfit</t>
  </si>
  <si>
    <t>Coins, gems, jewelry</t>
  </si>
  <si>
    <t>Total Skill Points</t>
  </si>
  <si>
    <t>Character's Name:</t>
  </si>
  <si>
    <t>Gems</t>
  </si>
  <si>
    <t>Sun Elf</t>
  </si>
  <si>
    <t>MDex</t>
  </si>
  <si>
    <t>By:  Daniel Rivera &amp; Stan Clark</t>
  </si>
  <si>
    <t>PP</t>
  </si>
  <si>
    <t>SP</t>
  </si>
  <si>
    <t>Cash</t>
  </si>
  <si>
    <t>GP</t>
  </si>
  <si>
    <t>CP</t>
  </si>
  <si>
    <t>Sleight of Hand</t>
  </si>
  <si>
    <t>Survival</t>
  </si>
  <si>
    <t>Perform:</t>
  </si>
  <si>
    <t>Container</t>
  </si>
  <si>
    <t>Dipl</t>
  </si>
  <si>
    <t>G Info</t>
  </si>
  <si>
    <t xml:space="preserve">&gt;30 ft </t>
  </si>
  <si>
    <t xml:space="preserve">&lt;30 ft </t>
  </si>
  <si>
    <t>Speed</t>
  </si>
  <si>
    <t>Spd</t>
  </si>
  <si>
    <t>dwf</t>
  </si>
  <si>
    <t>EQUIPMENT</t>
  </si>
  <si>
    <t>Quiver</t>
  </si>
  <si>
    <t>Potion Belt</t>
  </si>
  <si>
    <t>Bandoleer</t>
  </si>
  <si>
    <t>Note:  Weight calculations in the column to the left use SUM formulas to add certain sections.  Make sure you add or change formulas for additional containers</t>
  </si>
  <si>
    <t>Saddlebags</t>
  </si>
  <si>
    <t>Rations</t>
  </si>
  <si>
    <r>
      <t xml:space="preserve">This character sheet is pretty user-friendly.  Simply fill out all the empty spaces, and you will have your character ready to go.  There are 7 sheets to the file: A green instructions sheet, the 2 blue character sheets, a purple Arcane spell sheet, a yellow divine spell sheet, a green master item list sheet (for RPGA) and a grey data sheet.  If you don't need certain sheets, simply right-click on the sheet tab and select </t>
    </r>
    <r>
      <rPr>
        <b/>
        <sz val="10"/>
        <rFont val="Arial"/>
        <family val="2"/>
      </rPr>
      <t xml:space="preserve">Delete.  DO NOT DELETE THE DATA SHEET!  </t>
    </r>
    <r>
      <rPr>
        <sz val="10"/>
        <rFont val="Arial"/>
        <family val="2"/>
      </rPr>
      <t>There are a few points to consider:</t>
    </r>
  </si>
  <si>
    <r>
      <t>Character size and race</t>
    </r>
    <r>
      <rPr>
        <sz val="10"/>
        <rFont val="Arial"/>
        <family val="2"/>
      </rPr>
      <t xml:space="preserve"> are now drop-down menus.  This keeps the program from having to recognize various spellings and abbreviations of things, such as "S" and "small" or "h-elf", "h-e," or "half-elf."  All races from the Forgotten Realms sourcebook and core D&amp;D are included.  Also, sizes from Tiny to Huge are included too.</t>
    </r>
  </si>
  <si>
    <r>
      <t>Skills:</t>
    </r>
    <r>
      <rPr>
        <sz val="10"/>
        <rFont val="Arial"/>
        <family val="2"/>
      </rPr>
      <t xml:space="preserve">  The character sheet automatically figures in skill modifiers for race (such as the elf's bonus to spot, listen, and search).  Subraces (with the exception of Drow, svirfneblin, and duergar) do not have different skill modifiers from the PHB race.  Wood elves, for example, have many different qualities from the PHB elf, but none of their differences include skills.</t>
    </r>
  </si>
  <si>
    <r>
      <t xml:space="preserve">Skills- Encumbrance, Armor Check, and Synergy:  </t>
    </r>
    <r>
      <rPr>
        <sz val="10"/>
        <rFont val="Arial"/>
        <family val="2"/>
      </rPr>
      <t xml:space="preserve">Synergy bonuses listed in the PHB are included automatically in the skill totals (ex:  5 ranks in balance gives you +2 to tumble).  Encumbrance and armor check penalties are also automatically figured in, so long as you have put the weights for your items on the back and input armor check stats for your armor. </t>
    </r>
  </si>
  <si>
    <t>Knowledge:</t>
  </si>
  <si>
    <t>Arcana</t>
  </si>
  <si>
    <t>Engineering</t>
  </si>
  <si>
    <t>Dungeoneering</t>
  </si>
  <si>
    <t>Geography</t>
  </si>
  <si>
    <t>History</t>
  </si>
  <si>
    <t>Local</t>
  </si>
  <si>
    <t>Nature</t>
  </si>
  <si>
    <t>Nobility</t>
  </si>
  <si>
    <t>Religion</t>
  </si>
  <si>
    <t>Planes</t>
  </si>
  <si>
    <t>Profession:</t>
  </si>
  <si>
    <t>Armor</t>
  </si>
  <si>
    <t>Natural</t>
  </si>
  <si>
    <t>Deflect</t>
  </si>
  <si>
    <t>Force AC</t>
  </si>
  <si>
    <t>Shield</t>
  </si>
  <si>
    <t>Lv.</t>
  </si>
  <si>
    <t>XP</t>
  </si>
  <si>
    <t>MISC VALUABLES</t>
  </si>
  <si>
    <t>MAGIC ITEMS &amp; LOCATIONS</t>
  </si>
  <si>
    <t>Belt</t>
  </si>
  <si>
    <t>Cloak</t>
  </si>
  <si>
    <t>Bracers</t>
  </si>
  <si>
    <t>Helm</t>
  </si>
  <si>
    <t>Gloves</t>
  </si>
  <si>
    <t>Goggles</t>
  </si>
  <si>
    <t>Boots</t>
  </si>
  <si>
    <t>Necklace</t>
  </si>
  <si>
    <t>Ring</t>
  </si>
  <si>
    <t>Vest</t>
  </si>
  <si>
    <t>Potion belts hold 6 vials, MW potion belts hold 10.  Scroll organizers hold 15 scrolls.</t>
  </si>
  <si>
    <t>sample</t>
  </si>
  <si>
    <t>scroll</t>
  </si>
  <si>
    <t>MISC MAGIC ITEMS</t>
  </si>
  <si>
    <t>CONSUMABLE MAGIC (Scrolls, Wands, etc)</t>
  </si>
  <si>
    <t>Craft</t>
  </si>
  <si>
    <t>portrait</t>
  </si>
  <si>
    <t>Adp</t>
  </si>
  <si>
    <t>Asn</t>
  </si>
  <si>
    <t>Brd</t>
  </si>
  <si>
    <t>Blk</t>
  </si>
  <si>
    <t>Clr</t>
  </si>
  <si>
    <t>Dru</t>
  </si>
  <si>
    <t>Pal</t>
  </si>
  <si>
    <t>Rng</t>
  </si>
  <si>
    <t>Sor</t>
  </si>
  <si>
    <t>Wiz</t>
  </si>
  <si>
    <t>Domains</t>
  </si>
  <si>
    <t>Sch</t>
  </si>
  <si>
    <t>Comps</t>
  </si>
  <si>
    <t>Cast Time</t>
  </si>
  <si>
    <t>Aiming</t>
  </si>
  <si>
    <t>SR</t>
  </si>
  <si>
    <t>Cost</t>
  </si>
  <si>
    <t>Acid Arrow</t>
  </si>
  <si>
    <t xml:space="preserve"> </t>
  </si>
  <si>
    <t>V, S, M, F</t>
  </si>
  <si>
    <t>1 std act</t>
  </si>
  <si>
    <t>Effect: One arrow of acid</t>
  </si>
  <si>
    <t>None</t>
  </si>
  <si>
    <t>Acid Fog</t>
  </si>
  <si>
    <t>Water 7</t>
  </si>
  <si>
    <t>V, S, M/DF</t>
  </si>
  <si>
    <t>Effect: Fog spreads in 20-ft. radius, 20 ft. high</t>
  </si>
  <si>
    <t>Acid Splash</t>
  </si>
  <si>
    <t>V, S</t>
  </si>
  <si>
    <t>Effect: One missile of acid</t>
  </si>
  <si>
    <t>Instantaneous</t>
  </si>
  <si>
    <t>Good, Luck 2</t>
  </si>
  <si>
    <t>V, S, DF</t>
  </si>
  <si>
    <t>Target: Living creature touched</t>
  </si>
  <si>
    <t>Yes (H)</t>
  </si>
  <si>
    <t>Air 4</t>
  </si>
  <si>
    <t>Target: Creature (Gargantuan or smaller) touched</t>
  </si>
  <si>
    <t>Alarm</t>
  </si>
  <si>
    <t>V, S, F/DF</t>
  </si>
  <si>
    <t>Area: 20-ft.-radius emanation centered on a point in space</t>
  </si>
  <si>
    <t>Align Weapon</t>
  </si>
  <si>
    <t>Target: Weapon touched or fifty projectiles</t>
  </si>
  <si>
    <t>Will neg. (H, O)</t>
  </si>
  <si>
    <t>Yes (H, O)</t>
  </si>
  <si>
    <t>Alter Self</t>
  </si>
  <si>
    <t>Target: You</t>
  </si>
  <si>
    <t>Analyze Dweomer</t>
  </si>
  <si>
    <t>V, S, F</t>
  </si>
  <si>
    <t>See text</t>
  </si>
  <si>
    <t>1500gp</t>
  </si>
  <si>
    <t>Animal Growth</t>
  </si>
  <si>
    <t>Fortitude neg.</t>
  </si>
  <si>
    <t>V, S, M</t>
  </si>
  <si>
    <t>Target: One Tiny animal</t>
  </si>
  <si>
    <t>Animal Shapes</t>
  </si>
  <si>
    <t>Animal 7</t>
  </si>
  <si>
    <t>Animal Trance</t>
  </si>
  <si>
    <t>Targets: Animals or magical beasts with Intelligence 1 or 2</t>
  </si>
  <si>
    <t>Con.</t>
  </si>
  <si>
    <t>Death 3</t>
  </si>
  <si>
    <t>Targets: One or more corpses touched</t>
  </si>
  <si>
    <t>Animate Objects</t>
  </si>
  <si>
    <t>Chaos 6</t>
  </si>
  <si>
    <t>Animate Plants</t>
  </si>
  <si>
    <t>Plant 7</t>
  </si>
  <si>
    <t>V</t>
  </si>
  <si>
    <t>Animate Rope</t>
  </si>
  <si>
    <t>Antilife Shell</t>
  </si>
  <si>
    <t>Animal 6</t>
  </si>
  <si>
    <t>1 round</t>
  </si>
  <si>
    <t>10 ft.</t>
  </si>
  <si>
    <t>Area: 10-ft.-radius emanation, centered on you</t>
  </si>
  <si>
    <t>Antimagic Field</t>
  </si>
  <si>
    <t>Magic, Protection 6</t>
  </si>
  <si>
    <t>Antipathy</t>
  </si>
  <si>
    <t>1 hour</t>
  </si>
  <si>
    <t>Will partial</t>
  </si>
  <si>
    <t>Antiplant Shell</t>
  </si>
  <si>
    <t>Arcane Eye</t>
  </si>
  <si>
    <t>10 min.</t>
  </si>
  <si>
    <t>Unlimited</t>
  </si>
  <si>
    <t>Effect: Magical sensor</t>
  </si>
  <si>
    <t>Arcane Lock</t>
  </si>
  <si>
    <t>25gp</t>
  </si>
  <si>
    <t>Univ</t>
  </si>
  <si>
    <t>0 ft.</t>
  </si>
  <si>
    <t>Effect: One personal rune or mark, all of which must fit within 1 sq. ft.</t>
  </si>
  <si>
    <t>Arcane Sight</t>
  </si>
  <si>
    <t>Arcane Sight, Greater</t>
  </si>
  <si>
    <t>Astral Projection</t>
  </si>
  <si>
    <t>Travel 9</t>
  </si>
  <si>
    <t>30 min.</t>
  </si>
  <si>
    <t>1000gp</t>
  </si>
  <si>
    <t>Atonement</t>
  </si>
  <si>
    <t>V, S, M, F, DF, XP</t>
  </si>
  <si>
    <t>500gp</t>
  </si>
  <si>
    <t>1 min.</t>
  </si>
  <si>
    <t>50gp</t>
  </si>
  <si>
    <t>Awaken</t>
  </si>
  <si>
    <t>V, S, DF, XP</t>
  </si>
  <si>
    <t>24 hours</t>
  </si>
  <si>
    <t>Target: Animal or tree touched</t>
  </si>
  <si>
    <t>Will neg.</t>
  </si>
  <si>
    <t>250xp</t>
  </si>
  <si>
    <t>Baleful Polymorph</t>
  </si>
  <si>
    <t>Target: One creature</t>
  </si>
  <si>
    <t>50 ft.</t>
  </si>
  <si>
    <t>Area: All enemies within 50 ft.</t>
  </si>
  <si>
    <t>Banishment</t>
  </si>
  <si>
    <t>Targets: One or more extraplanar creatures within 30 ft. of each other</t>
  </si>
  <si>
    <t>Barkskin</t>
  </si>
  <si>
    <t>Plant 2</t>
  </si>
  <si>
    <t>Bear's Endurance</t>
  </si>
  <si>
    <t>Target: Creature touched</t>
  </si>
  <si>
    <t>Will neg. (H)</t>
  </si>
  <si>
    <t>Bear's Endurance, Mass</t>
  </si>
  <si>
    <t>Binding</t>
  </si>
  <si>
    <t>Target: One living creature</t>
  </si>
  <si>
    <t>See text [D]</t>
  </si>
  <si>
    <t>Black Tentacles</t>
  </si>
  <si>
    <t>Area: 20-ft.-radius spread</t>
  </si>
  <si>
    <t>Blade Barrier</t>
  </si>
  <si>
    <t>Good, War 6</t>
  </si>
  <si>
    <t>Evo</t>
  </si>
  <si>
    <t>Blasphemy</t>
  </si>
  <si>
    <t>Evil 7</t>
  </si>
  <si>
    <t>40 ft.</t>
  </si>
  <si>
    <t>Area: Nonevil creatures in a 40-ft.-radius spread centered on you</t>
  </si>
  <si>
    <t>Area: The caster and all allies within a 50-ft. burst, centered on the caster</t>
  </si>
  <si>
    <t>Target: Flask of water touched</t>
  </si>
  <si>
    <t>Will neg. (O)</t>
  </si>
  <si>
    <t>Yes (O)</t>
  </si>
  <si>
    <t>Bless Weapon</t>
  </si>
  <si>
    <t>Target: Weapon touched</t>
  </si>
  <si>
    <t>Blight</t>
  </si>
  <si>
    <t>Target: one plant/plant-creature</t>
  </si>
  <si>
    <t>Blindness/Deafness</t>
  </si>
  <si>
    <t>Permanent [D]</t>
  </si>
  <si>
    <t>Blink</t>
  </si>
  <si>
    <t>Blur</t>
  </si>
  <si>
    <t>Ill</t>
  </si>
  <si>
    <t>Break Enchantment</t>
  </si>
  <si>
    <t>Luck 5</t>
  </si>
  <si>
    <t>Strength 2</t>
  </si>
  <si>
    <t>Bull's Strength, Mass</t>
  </si>
  <si>
    <t>Burning Hands</t>
  </si>
  <si>
    <t>Fire 1</t>
  </si>
  <si>
    <t>15 ft.</t>
  </si>
  <si>
    <t>Area: Cone-shaped burst</t>
  </si>
  <si>
    <t>Reflex half</t>
  </si>
  <si>
    <t>Call Lightning</t>
  </si>
  <si>
    <t>Effect: One or more 30-ft.-long vertical lines of lightning</t>
  </si>
  <si>
    <t>Call Lightning Storm</t>
  </si>
  <si>
    <t>Calm Animals</t>
  </si>
  <si>
    <t>Animal 1</t>
  </si>
  <si>
    <t>Targets: Animals within 30 ft. of each other</t>
  </si>
  <si>
    <t>Law 2</t>
  </si>
  <si>
    <t>Area: Creatures in a 20-ft.-radius spread</t>
  </si>
  <si>
    <t>Cat's Grace</t>
  </si>
  <si>
    <t>Cat's Grace, Mass</t>
  </si>
  <si>
    <t>Death 1</t>
  </si>
  <si>
    <t>Target: One living creature with 5 or fewer HD</t>
  </si>
  <si>
    <t>Chain Lightning</t>
  </si>
  <si>
    <t>Air 6</t>
  </si>
  <si>
    <t>Changestaff</t>
  </si>
  <si>
    <t>Target: Your touched staff</t>
  </si>
  <si>
    <t>Chaos Hammer</t>
  </si>
  <si>
    <t>Chaos 4</t>
  </si>
  <si>
    <t>Area: 20-ft.-radius burst</t>
  </si>
  <si>
    <t>Charm Animal</t>
  </si>
  <si>
    <t>Target: One animal</t>
  </si>
  <si>
    <t>Charm Monster</t>
  </si>
  <si>
    <t>Charm Monster, Mass</t>
  </si>
  <si>
    <t>Targets: One or more creatures within 30 ft. of each other</t>
  </si>
  <si>
    <t>Charm Person</t>
  </si>
  <si>
    <t>Target: One humanoid creature</t>
  </si>
  <si>
    <t>Chill Metal</t>
  </si>
  <si>
    <t>7 rnds</t>
  </si>
  <si>
    <t>Yes  (O)</t>
  </si>
  <si>
    <t>Chill Touch</t>
  </si>
  <si>
    <t>Circle of Death</t>
  </si>
  <si>
    <t>Area: Several living creatures within a 40-ft.-radius burst</t>
  </si>
  <si>
    <t>Clairaudience/Clairvoyance</t>
  </si>
  <si>
    <t>Knowledge 3</t>
  </si>
  <si>
    <t>Clenched Fist</t>
  </si>
  <si>
    <t>Strength 8</t>
  </si>
  <si>
    <t>Effect: 10-ft. hand</t>
  </si>
  <si>
    <t>Cloak of Chaos</t>
  </si>
  <si>
    <t>Chaos 8</t>
  </si>
  <si>
    <t>20 ft.</t>
  </si>
  <si>
    <t>Clone</t>
  </si>
  <si>
    <t>Effect: One clone</t>
  </si>
  <si>
    <t>Cloudkill</t>
  </si>
  <si>
    <t>Effect: Cloud spreads in 20-ft. radius, 20 ft. high</t>
  </si>
  <si>
    <t>Color Spray</t>
  </si>
  <si>
    <t>Command Plants</t>
  </si>
  <si>
    <t>Plant 4</t>
  </si>
  <si>
    <t>Command Undead</t>
  </si>
  <si>
    <t>Targets: One undead creature</t>
  </si>
  <si>
    <t>Command, Greater</t>
  </si>
  <si>
    <t>Commune</t>
  </si>
  <si>
    <t>V, S, M, DF, XP</t>
  </si>
  <si>
    <t>100xp</t>
  </si>
  <si>
    <t>Commune with Nature</t>
  </si>
  <si>
    <t>Animal 5</t>
  </si>
  <si>
    <t>Cone of Cold</t>
  </si>
  <si>
    <t>Water 6</t>
  </si>
  <si>
    <t>60 ft.</t>
  </si>
  <si>
    <t>Confusion</t>
  </si>
  <si>
    <t>Trickery 4</t>
  </si>
  <si>
    <t>Targets: All creatures in a 15-ft. radius burst</t>
  </si>
  <si>
    <t>Confusion, Lesser</t>
  </si>
  <si>
    <t>V, S, M, DF</t>
  </si>
  <si>
    <t>Area: 20-ft.-radius emanation</t>
  </si>
  <si>
    <t>Contact Other Plane</t>
  </si>
  <si>
    <t>Destruction 3</t>
  </si>
  <si>
    <t>Contingency</t>
  </si>
  <si>
    <t>Target: Object touched Magical, heatless flame</t>
  </si>
  <si>
    <t>Control Plants</t>
  </si>
  <si>
    <t>Plant 8</t>
  </si>
  <si>
    <t>Control Undead</t>
  </si>
  <si>
    <t>Water 4</t>
  </si>
  <si>
    <t>Control Weather</t>
  </si>
  <si>
    <t>Air 7</t>
  </si>
  <si>
    <t>2 miles</t>
  </si>
  <si>
    <t>Area: 2-mile-radius circle, centered on you; see text</t>
  </si>
  <si>
    <t>Control Winds</t>
  </si>
  <si>
    <t>Air 5</t>
  </si>
  <si>
    <t>Create Greater Undead</t>
  </si>
  <si>
    <t>Death 8</t>
  </si>
  <si>
    <t>Target: One corpse</t>
  </si>
  <si>
    <t>Create Undead</t>
  </si>
  <si>
    <t>Death, Evil 6</t>
  </si>
  <si>
    <t>Creeping Doom</t>
  </si>
  <si>
    <t>Crushing Despair</t>
  </si>
  <si>
    <t>30 ft.</t>
  </si>
  <si>
    <t>Crushing Hand</t>
  </si>
  <si>
    <t>Strength 9</t>
  </si>
  <si>
    <t>V, S, M, F/DF</t>
  </si>
  <si>
    <t>Healing 4</t>
  </si>
  <si>
    <t>Cure Critical Wounds, Mass</t>
  </si>
  <si>
    <t>Healing 8</t>
  </si>
  <si>
    <t>Healing 1</t>
  </si>
  <si>
    <t>Cure Light Wounds, Mass</t>
  </si>
  <si>
    <t>Healing 5</t>
  </si>
  <si>
    <t>Healing 2</t>
  </si>
  <si>
    <t>Cure Moderate Wounds, Mass</t>
  </si>
  <si>
    <t>Healing 3</t>
  </si>
  <si>
    <t>Cure Serious Wounds, Mass</t>
  </si>
  <si>
    <t>Effect: Up to four lights, all within a 10- ft.-radius area</t>
  </si>
  <si>
    <t>V, M/DF</t>
  </si>
  <si>
    <t>Target: Object touched</t>
  </si>
  <si>
    <t>Darkvision</t>
  </si>
  <si>
    <t>Target: One humanoid creature of 4 HD or less</t>
  </si>
  <si>
    <t>Daze Monster</t>
  </si>
  <si>
    <t>Target: One living creature of 6 HD or less</t>
  </si>
  <si>
    <t>Death 2</t>
  </si>
  <si>
    <t>Death 4</t>
  </si>
  <si>
    <t>Area: Cone-shaped emanation</t>
  </si>
  <si>
    <t>Deep Slumber</t>
  </si>
  <si>
    <t>Area: One or more living creatures within a 10-ft.-radius burst</t>
  </si>
  <si>
    <t>Fortitude neg. (H)</t>
  </si>
  <si>
    <t>Delayed Blast Fireball</t>
  </si>
  <si>
    <t>Demand</t>
  </si>
  <si>
    <t>Evil 2</t>
  </si>
  <si>
    <t>Destruction</t>
  </si>
  <si>
    <t>Death 7</t>
  </si>
  <si>
    <t>Fortitude partial</t>
  </si>
  <si>
    <t>Detect Animals or Plants</t>
  </si>
  <si>
    <t>Con., up to 10 min. [D]</t>
  </si>
  <si>
    <t>Target or Area: One creature, one object, or a 5-ft. cube</t>
  </si>
  <si>
    <t>Detect Scrying</t>
  </si>
  <si>
    <t>Area: 40-ft.-radius emanation centered on you</t>
  </si>
  <si>
    <t>Detect Secret Doors</t>
  </si>
  <si>
    <t>Knowledge 1</t>
  </si>
  <si>
    <t>Detect Snares and Pits</t>
  </si>
  <si>
    <t>Detect Thoughts</t>
  </si>
  <si>
    <t>Knowledge 2</t>
  </si>
  <si>
    <t>Detect Undead</t>
  </si>
  <si>
    <t>Dictum</t>
  </si>
  <si>
    <t>Law 7</t>
  </si>
  <si>
    <t>Area: Nonlawful creatures in a 40-ft.-radius spread centered on you</t>
  </si>
  <si>
    <t>Dimension Door</t>
  </si>
  <si>
    <t>Travel 4</t>
  </si>
  <si>
    <t>Target: You and touched objects or other touched willing creatures</t>
  </si>
  <si>
    <t>None and Will neg. (O)</t>
  </si>
  <si>
    <t>No and Yes (O)</t>
  </si>
  <si>
    <t>Effect: Ray</t>
  </si>
  <si>
    <t>Dimensional Lock</t>
  </si>
  <si>
    <t>Diminish Plants</t>
  </si>
  <si>
    <t>Target or Area: See text</t>
  </si>
  <si>
    <t>Discern Location</t>
  </si>
  <si>
    <t>Knowledge 8</t>
  </si>
  <si>
    <t>Target: One creature or object</t>
  </si>
  <si>
    <t>Disguise Self</t>
  </si>
  <si>
    <t>Trickery 1</t>
  </si>
  <si>
    <t>Disintegrate</t>
  </si>
  <si>
    <t>Destruction 7</t>
  </si>
  <si>
    <t>Fortitude partial (O)</t>
  </si>
  <si>
    <t>Target: One extraplanar creature</t>
  </si>
  <si>
    <t>Dispel Chaos</t>
  </si>
  <si>
    <t>Law 5</t>
  </si>
  <si>
    <t>Target or Targets: See text</t>
  </si>
  <si>
    <t>Dispel Evil</t>
  </si>
  <si>
    <t>Good 5</t>
  </si>
  <si>
    <t>Dispel Good</t>
  </si>
  <si>
    <t>Evil 5</t>
  </si>
  <si>
    <t>Dispel Law</t>
  </si>
  <si>
    <t>Chaos 5</t>
  </si>
  <si>
    <t>Magic 3</t>
  </si>
  <si>
    <t>Target or Area: One spellcaster, creature, or object; or 20-ft.-radius burst</t>
  </si>
  <si>
    <t>Dispel Magic, Greater</t>
  </si>
  <si>
    <t>Displacement</t>
  </si>
  <si>
    <t>V, M</t>
  </si>
  <si>
    <t>Disrupting Weapon</t>
  </si>
  <si>
    <t>Targets: One melee weapon</t>
  </si>
  <si>
    <t>Knowledge 4</t>
  </si>
  <si>
    <t>War 4</t>
  </si>
  <si>
    <t>Dominate Animal</t>
  </si>
  <si>
    <t>Animal 3</t>
  </si>
  <si>
    <t>Dominate Monster</t>
  </si>
  <si>
    <t>Dominate Person</t>
  </si>
  <si>
    <t>Target: One humanoid</t>
  </si>
  <si>
    <t>Dream</t>
  </si>
  <si>
    <t>Target: One living creature touched</t>
  </si>
  <si>
    <t>Eagle's Splendor</t>
  </si>
  <si>
    <t>Eagle's Splendor, Mass</t>
  </si>
  <si>
    <t>Earthquake</t>
  </si>
  <si>
    <t>Earth 7, Destruction 8</t>
  </si>
  <si>
    <t>Area: 80-ft.-radius spread (S)</t>
  </si>
  <si>
    <t>Elemental Swarm</t>
  </si>
  <si>
    <t>Air, Earth, Fire, Water 9</t>
  </si>
  <si>
    <t>Effect: Two or more summoned creatures within 30 ft. of each other</t>
  </si>
  <si>
    <t>Sun 1</t>
  </si>
  <si>
    <t>Energy Drain</t>
  </si>
  <si>
    <t>Effect: Ray of negative energy</t>
  </si>
  <si>
    <t>Enervation</t>
  </si>
  <si>
    <t>Enlarge Person</t>
  </si>
  <si>
    <t>Strength 1</t>
  </si>
  <si>
    <t>Enlarge Person, Mass</t>
  </si>
  <si>
    <t>Entangle</t>
  </si>
  <si>
    <t>Plant 1</t>
  </si>
  <si>
    <t>Area: Plants in a 40-ft.-radius spread</t>
  </si>
  <si>
    <t>Targets: Any number of creatures</t>
  </si>
  <si>
    <t>Luck 1</t>
  </si>
  <si>
    <t>Erase</t>
  </si>
  <si>
    <t>Target: One scroll or two pages</t>
  </si>
  <si>
    <t>Ethereal Jaunt</t>
  </si>
  <si>
    <t>Etherealness</t>
  </si>
  <si>
    <t>Expeditious Retreat</t>
  </si>
  <si>
    <t>Explosive Runes</t>
  </si>
  <si>
    <t>Target: One touched object weighing no more than 10 lb.</t>
  </si>
  <si>
    <t>Permanent until dis. [D]</t>
  </si>
  <si>
    <t>Eyebite</t>
  </si>
  <si>
    <t>Fabricate</t>
  </si>
  <si>
    <t>Faerie Fire</t>
  </si>
  <si>
    <t>Area: Creatures and objects within a 5-ft.-radius burst</t>
  </si>
  <si>
    <t>False Life</t>
  </si>
  <si>
    <t>False Vision</t>
  </si>
  <si>
    <t>Trickery 5</t>
  </si>
  <si>
    <t>Area: 40-ft.-radius emanation</t>
  </si>
  <si>
    <t>250gp</t>
  </si>
  <si>
    <t>Fear</t>
  </si>
  <si>
    <t>Feather Fall</t>
  </si>
  <si>
    <t>1 free act</t>
  </si>
  <si>
    <t>Feeblemind</t>
  </si>
  <si>
    <t>Find the Path</t>
  </si>
  <si>
    <t>Knowledge, Travel 6</t>
  </si>
  <si>
    <t>3 rnds</t>
  </si>
  <si>
    <t>None or Will neg. (H)</t>
  </si>
  <si>
    <t>No or Yes (H)</t>
  </si>
  <si>
    <t>Finger of Death</t>
  </si>
  <si>
    <t>Fire Seeds</t>
  </si>
  <si>
    <t>Fire, Sun 6</t>
  </si>
  <si>
    <t>Targets: Up to four touched acorns or up to eight touched holly berries</t>
  </si>
  <si>
    <t>Fire Shield</t>
  </si>
  <si>
    <t>Fire 5, Sun 4</t>
  </si>
  <si>
    <t>Fire Storm</t>
  </si>
  <si>
    <t>Fire 7</t>
  </si>
  <si>
    <t>Fire Trap</t>
  </si>
  <si>
    <t>Fireball</t>
  </si>
  <si>
    <t>Flame Arrow</t>
  </si>
  <si>
    <t>Target: Fifty projectiles, all of which must be in contact with each other at the time of casting</t>
  </si>
  <si>
    <t>Flame Blade</t>
  </si>
  <si>
    <t>Effect: Sword-like beam</t>
  </si>
  <si>
    <t>Flame Strike</t>
  </si>
  <si>
    <t>Sun, War 5</t>
  </si>
  <si>
    <t>Area: Cylinder (10-ft. radius, 40 ft. high)</t>
  </si>
  <si>
    <t>Flaming Sphere</t>
  </si>
  <si>
    <t>Effect: 5-ft.-diameter sphere</t>
  </si>
  <si>
    <t>Reflex neg.</t>
  </si>
  <si>
    <t>Effect: Burst of light</t>
  </si>
  <si>
    <t>Flesh to Stone</t>
  </si>
  <si>
    <t>Floating Disk</t>
  </si>
  <si>
    <t>Effect: 3-ft.-diameter disk of force</t>
  </si>
  <si>
    <t>Fly</t>
  </si>
  <si>
    <t>Travel 3</t>
  </si>
  <si>
    <t>Fog Cloud</t>
  </si>
  <si>
    <t>Water 2</t>
  </si>
  <si>
    <t>Forbiddance</t>
  </si>
  <si>
    <t>6 rnds</t>
  </si>
  <si>
    <t>Forcecage</t>
  </si>
  <si>
    <t>Area: Barred cage (20-ft. cube) or windowless cell (10-ft. cube)</t>
  </si>
  <si>
    <t>Forceful Hand</t>
  </si>
  <si>
    <t>Foresight</t>
  </si>
  <si>
    <t>Knowledge 9</t>
  </si>
  <si>
    <t>Fox's Cunning</t>
  </si>
  <si>
    <t>Fox's Cunning, Mass</t>
  </si>
  <si>
    <t>Freedom</t>
  </si>
  <si>
    <t>Luck 4</t>
  </si>
  <si>
    <t>Freezing Sphere</t>
  </si>
  <si>
    <t>Target, Effect, or Area: See text</t>
  </si>
  <si>
    <t>Gaseous Form</t>
  </si>
  <si>
    <t>Air 3</t>
  </si>
  <si>
    <t>S, M/DF</t>
  </si>
  <si>
    <t>Target: Willing corporeal creature touched</t>
  </si>
  <si>
    <t>Gate</t>
  </si>
  <si>
    <t>Effect: See text</t>
  </si>
  <si>
    <t>Geas, Lesser</t>
  </si>
  <si>
    <t>Target: One living creature with 7 HD or less</t>
  </si>
  <si>
    <t>Geas/Quest</t>
  </si>
  <si>
    <t>Target: Corpse touched</t>
  </si>
  <si>
    <t>Effect: Illusory sounds</t>
  </si>
  <si>
    <t>Will disbelief</t>
  </si>
  <si>
    <t>Ghoul Touch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</si>
</sst>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Red]&quot;$&quot;#"/>
    <numFmt numFmtId="166" formatCode="\+#,##0_);[Red]\-\(#,##0\)"/>
    <numFmt numFmtId="167" formatCode="[Red]\+##,#0_;\-#,##0"/>
    <numFmt numFmtId="168" formatCode="\+#,##0_);[Red]\-#,##0"/>
    <numFmt numFmtId="169" formatCode="#,##0_);[Red]\-#,##0"/>
    <numFmt numFmtId="170" formatCode="[Red]\-#,##0"/>
    <numFmt numFmtId="171" formatCode="#,##0_);[Red]\-\(#,##0\)"/>
    <numFmt numFmtId="172" formatCode="0.0"/>
    <numFmt numFmtId="173" formatCode="#,##0.0_);[Red]\-#,##0.0"/>
    <numFmt numFmtId="174" formatCode="\+#,###;[Red]\-#,###"/>
    <numFmt numFmtId="175" formatCode="[$-409]h:mm:ss\ AM/PM"/>
    <numFmt numFmtId="176" formatCode="[$-409]dddd\,\ mmmm\ dd\,\ yyyy"/>
    <numFmt numFmtId="177" formatCode="[Red]\-#,##0.0"/>
    <numFmt numFmtId="178" formatCode="\x#"/>
    <numFmt numFmtId="179" formatCode="m/d/yy;@"/>
  </numFmts>
  <fonts count="6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36"/>
      <name val="MS Sans Serif"/>
      <family val="0"/>
    </font>
    <font>
      <b/>
      <sz val="8"/>
      <name val="Centaur"/>
      <family val="1"/>
    </font>
    <font>
      <sz val="8"/>
      <name val="Centaur"/>
      <family val="1"/>
    </font>
    <font>
      <b/>
      <sz val="10"/>
      <name val="Centaur"/>
      <family val="1"/>
    </font>
    <font>
      <sz val="10"/>
      <name val="Centaur"/>
      <family val="1"/>
    </font>
    <font>
      <i/>
      <sz val="8"/>
      <name val="Centaur"/>
      <family val="1"/>
    </font>
    <font>
      <b/>
      <sz val="12"/>
      <name val="Centaur"/>
      <family val="1"/>
    </font>
    <font>
      <b/>
      <sz val="20"/>
      <name val="Centaur"/>
      <family val="1"/>
    </font>
    <font>
      <sz val="6"/>
      <name val="Centaur"/>
      <family val="1"/>
    </font>
    <font>
      <sz val="8"/>
      <color indexed="17"/>
      <name val="Centaur"/>
      <family val="1"/>
    </font>
    <font>
      <sz val="10"/>
      <color indexed="17"/>
      <name val="Centaur"/>
      <family val="1"/>
    </font>
    <font>
      <sz val="8"/>
      <color indexed="18"/>
      <name val="Centaur"/>
      <family val="1"/>
    </font>
    <font>
      <b/>
      <sz val="8"/>
      <color indexed="62"/>
      <name val="Centaur"/>
      <family val="1"/>
    </font>
    <font>
      <b/>
      <sz val="10"/>
      <color indexed="62"/>
      <name val="Centaur"/>
      <family val="1"/>
    </font>
    <font>
      <sz val="8"/>
      <color indexed="62"/>
      <name val="Centaur"/>
      <family val="1"/>
    </font>
    <font>
      <i/>
      <sz val="8"/>
      <color indexed="62"/>
      <name val="Centaur"/>
      <family val="1"/>
    </font>
    <font>
      <b/>
      <sz val="22"/>
      <name val="Centaur"/>
      <family val="1"/>
    </font>
    <font>
      <sz val="10"/>
      <color indexed="62"/>
      <name val="Centaur"/>
      <family val="1"/>
    </font>
    <font>
      <sz val="8"/>
      <color indexed="20"/>
      <name val="Centaur"/>
      <family val="1"/>
    </font>
    <font>
      <sz val="10"/>
      <color indexed="20"/>
      <name val="Centaur"/>
      <family val="1"/>
    </font>
    <font>
      <b/>
      <sz val="8"/>
      <color indexed="17"/>
      <name val="Centaur"/>
      <family val="1"/>
    </font>
    <font>
      <b/>
      <sz val="10"/>
      <color indexed="61"/>
      <name val="Centaur"/>
      <family val="1"/>
    </font>
    <font>
      <b/>
      <sz val="10"/>
      <color indexed="16"/>
      <name val="Centaur"/>
      <family val="1"/>
    </font>
    <font>
      <sz val="10"/>
      <color indexed="16"/>
      <name val="Centaur"/>
      <family val="1"/>
    </font>
    <font>
      <sz val="10"/>
      <name val="Times New Roman"/>
      <family val="1"/>
    </font>
    <font>
      <sz val="9"/>
      <name val="MS Sans Serif"/>
      <family val="0"/>
    </font>
    <font>
      <sz val="8"/>
      <color indexed="12"/>
      <name val="Centaur"/>
      <family val="1"/>
    </font>
    <font>
      <b/>
      <sz val="10"/>
      <color indexed="17"/>
      <name val="Centaur"/>
      <family val="1"/>
    </font>
    <font>
      <sz val="8"/>
      <color indexed="16"/>
      <name val="Centaur"/>
      <family val="1"/>
    </font>
    <font>
      <sz val="10"/>
      <color indexed="16"/>
      <name val="MS Sans Serif"/>
      <family val="0"/>
    </font>
    <font>
      <b/>
      <sz val="8"/>
      <color indexed="60"/>
      <name val="Centaur"/>
      <family val="1"/>
    </font>
    <font>
      <b/>
      <sz val="10"/>
      <color indexed="60"/>
      <name val="Centaur"/>
      <family val="1"/>
    </font>
    <font>
      <b/>
      <sz val="8"/>
      <color indexed="8"/>
      <name val="Centaur"/>
      <family val="1"/>
    </font>
    <font>
      <sz val="10"/>
      <color indexed="62"/>
      <name val="MS Sans Serif"/>
      <family val="0"/>
    </font>
    <font>
      <i/>
      <sz val="8"/>
      <color indexed="20"/>
      <name val="Centaur"/>
      <family val="1"/>
    </font>
    <font>
      <b/>
      <sz val="9"/>
      <color indexed="16"/>
      <name val="Centaur"/>
      <family val="1"/>
    </font>
    <font>
      <u val="single"/>
      <sz val="8"/>
      <name val="Centaur"/>
      <family val="1"/>
    </font>
    <font>
      <u val="single"/>
      <sz val="8"/>
      <color indexed="61"/>
      <name val="Centaur"/>
      <family val="1"/>
    </font>
    <font>
      <sz val="10"/>
      <name val="Arial"/>
      <family val="2"/>
    </font>
    <font>
      <b/>
      <sz val="10"/>
      <name val="Arial"/>
      <family val="2"/>
    </font>
    <font>
      <b/>
      <i/>
      <sz val="10"/>
      <color indexed="18"/>
      <name val="Arial"/>
      <family val="2"/>
    </font>
    <font>
      <b/>
      <i/>
      <sz val="8"/>
      <name val="Centaur"/>
      <family val="1"/>
    </font>
    <font>
      <sz val="8"/>
      <color indexed="8"/>
      <name val="Centaur"/>
      <family val="1"/>
    </font>
    <font>
      <b/>
      <sz val="8"/>
      <color indexed="18"/>
      <name val="Centaur"/>
      <family val="1"/>
    </font>
    <font>
      <sz val="10"/>
      <name val="Verdana"/>
      <family val="0"/>
    </font>
    <font>
      <sz val="8"/>
      <name val="Verdana"/>
      <family val="0"/>
    </font>
    <font>
      <b/>
      <sz val="8"/>
      <name val="Arial"/>
      <family val="2"/>
    </font>
    <font>
      <sz val="8"/>
      <name val="Arial"/>
      <family val="2"/>
    </font>
    <font>
      <sz val="8"/>
      <name val="Tahoma"/>
      <family val="2"/>
    </font>
    <font>
      <sz val="10"/>
      <color indexed="12"/>
      <name val="Arial"/>
      <family val="2"/>
    </font>
    <font>
      <b/>
      <sz val="18"/>
      <name val="Centaur"/>
      <family val="1"/>
    </font>
    <font>
      <sz val="8"/>
      <name val="MS Sans Serif"/>
      <family val="0"/>
    </font>
    <font>
      <sz val="7"/>
      <name val="Arial"/>
      <family val="2"/>
    </font>
    <font>
      <b/>
      <sz val="14"/>
      <color indexed="20"/>
      <name val="Centaur"/>
      <family val="1"/>
    </font>
    <font>
      <b/>
      <sz val="10"/>
      <color indexed="20"/>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103">
    <border>
      <left/>
      <right/>
      <top/>
      <bottom/>
      <diagonal/>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style="medium"/>
      <top style="thin"/>
      <bottom style="medium"/>
    </border>
    <border>
      <left style="medium"/>
      <right>
        <color indexed="63"/>
      </right>
      <top style="thin"/>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hair"/>
      <top style="hair"/>
      <bottom style="thin"/>
    </border>
    <border>
      <left style="hair"/>
      <right>
        <color indexed="63"/>
      </right>
      <top style="hair"/>
      <bottom style="thin"/>
    </border>
    <border>
      <left>
        <color indexed="63"/>
      </left>
      <right style="hair"/>
      <top style="hair"/>
      <bottom style="hair"/>
    </border>
    <border>
      <left style="thin"/>
      <right style="thin"/>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hair"/>
      <bottom style="hair"/>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style="medium"/>
      <top style="hair"/>
      <bottom style="hair"/>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hair"/>
      <right>
        <color indexed="63"/>
      </right>
      <top style="thin"/>
      <bottom style="hair"/>
    </border>
    <border>
      <left>
        <color indexed="63"/>
      </left>
      <right style="hair"/>
      <top style="thin"/>
      <bottom style="hair"/>
    </border>
    <border>
      <left style="medium"/>
      <right>
        <color indexed="63"/>
      </right>
      <top>
        <color indexed="63"/>
      </top>
      <bottom style="thin"/>
    </border>
    <border>
      <left>
        <color indexed="63"/>
      </left>
      <right style="medium"/>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medium"/>
      <right style="hair"/>
      <top style="hair"/>
      <bottom style="medium"/>
    </border>
    <border>
      <left style="hair"/>
      <right style="hair"/>
      <top style="hair"/>
      <bottom style="medium"/>
    </border>
    <border>
      <left style="hair"/>
      <right style="thin"/>
      <top style="hair"/>
      <bottom style="medium"/>
    </border>
    <border>
      <left style="thin"/>
      <right style="hair"/>
      <top style="hair"/>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medium"/>
      <bottom style="hair"/>
    </border>
    <border>
      <left style="hair"/>
      <right style="hair"/>
      <top style="medium"/>
      <bottom style="hair"/>
    </border>
    <border>
      <left style="hair"/>
      <right style="thin"/>
      <top style="medium"/>
      <bottom style="hair"/>
    </border>
    <border>
      <left style="hair"/>
      <right style="medium"/>
      <top style="medium"/>
      <bottom style="hair"/>
    </border>
    <border>
      <left style="thin"/>
      <right style="hair"/>
      <top style="medium"/>
      <bottom style="hair"/>
    </border>
    <border>
      <left style="medium"/>
      <right>
        <color indexed="63"/>
      </right>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style="medium"/>
      <top style="hair"/>
      <bottom style="medium"/>
    </border>
    <border>
      <left>
        <color indexed="63"/>
      </left>
      <right style="medium"/>
      <top style="hair"/>
      <bottom style="thin"/>
    </border>
    <border>
      <left style="double"/>
      <right>
        <color indexed="63"/>
      </right>
      <top style="hair"/>
      <bottom style="hair"/>
    </border>
    <border>
      <left style="thin"/>
      <right>
        <color indexed="63"/>
      </right>
      <top style="hair"/>
      <bottom style="medium"/>
    </border>
    <border>
      <left>
        <color indexed="63"/>
      </left>
      <right style="medium"/>
      <top style="hair"/>
      <bottom style="medium"/>
    </border>
    <border>
      <left>
        <color indexed="63"/>
      </left>
      <right style="double"/>
      <top style="thin"/>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hair"/>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hair"/>
    </border>
    <border>
      <left style="double"/>
      <right>
        <color indexed="63"/>
      </right>
      <top style="hair"/>
      <bottom style="thin"/>
    </border>
    <border>
      <left>
        <color indexed="63"/>
      </left>
      <right style="double"/>
      <top style="hair"/>
      <bottom style="medium"/>
    </border>
    <border>
      <left>
        <color indexed="63"/>
      </left>
      <right>
        <color indexed="63"/>
      </right>
      <top>
        <color indexed="63"/>
      </top>
      <bottom style="thin">
        <color indexed="2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9" fillId="0" borderId="0">
      <alignment/>
      <protection/>
    </xf>
    <xf numFmtId="9" fontId="0" fillId="0" borderId="0" applyFont="0" applyFill="0" applyBorder="0" applyAlignment="0" applyProtection="0"/>
  </cellStyleXfs>
  <cellXfs count="715">
    <xf numFmtId="0" fontId="0" fillId="0" borderId="0" xfId="0" applyAlignment="1">
      <alignment/>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7" fillId="0" borderId="1" xfId="0" applyNumberFormat="1" applyFont="1" applyFill="1" applyBorder="1" applyAlignment="1" applyProtection="1">
      <alignment/>
      <protection/>
    </xf>
    <xf numFmtId="0" fontId="6" fillId="0" borderId="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7" fillId="0" borderId="2" xfId="0" applyNumberFormat="1" applyFont="1" applyFill="1" applyBorder="1" applyAlignment="1" applyProtection="1">
      <alignment horizontal="right"/>
      <protection/>
    </xf>
    <xf numFmtId="0" fontId="7" fillId="0" borderId="3" xfId="0" applyNumberFormat="1" applyFont="1" applyFill="1" applyBorder="1" applyAlignment="1" applyProtection="1">
      <alignment/>
      <protection/>
    </xf>
    <xf numFmtId="49" fontId="7" fillId="0" borderId="4"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49" fontId="13" fillId="0" borderId="0" xfId="0" applyNumberFormat="1" applyFont="1" applyFill="1" applyBorder="1" applyAlignment="1" applyProtection="1">
      <alignment/>
      <protection/>
    </xf>
    <xf numFmtId="168" fontId="8"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protection/>
    </xf>
    <xf numFmtId="169" fontId="13" fillId="0" borderId="0" xfId="0" applyNumberFormat="1"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center"/>
      <protection/>
    </xf>
    <xf numFmtId="49" fontId="25" fillId="0" borderId="0" xfId="0" applyNumberFormat="1" applyFont="1" applyFill="1" applyBorder="1" applyAlignment="1" applyProtection="1">
      <alignment horizontal="center"/>
      <protection/>
    </xf>
    <xf numFmtId="172" fontId="7" fillId="0" borderId="0" xfId="0" applyNumberFormat="1" applyFont="1" applyFill="1" applyBorder="1" applyAlignment="1" applyProtection="1">
      <alignment/>
      <protection/>
    </xf>
    <xf numFmtId="0" fontId="7" fillId="0" borderId="0" xfId="0" applyFont="1" applyAlignment="1">
      <alignment/>
    </xf>
    <xf numFmtId="0" fontId="6" fillId="0" borderId="0" xfId="0" applyFont="1" applyAlignment="1">
      <alignment/>
    </xf>
    <xf numFmtId="0" fontId="7" fillId="0" borderId="6" xfId="0" applyNumberFormat="1" applyFont="1" applyFill="1" applyBorder="1" applyAlignment="1" applyProtection="1">
      <alignment/>
      <protection/>
    </xf>
    <xf numFmtId="0" fontId="7" fillId="0" borderId="0" xfId="0" applyFont="1" applyAlignment="1">
      <alignment horizontal="center"/>
    </xf>
    <xf numFmtId="0" fontId="6" fillId="0" borderId="0" xfId="0" applyFont="1" applyAlignment="1">
      <alignment horizontal="center"/>
    </xf>
    <xf numFmtId="0" fontId="7" fillId="0" borderId="1" xfId="0" applyFont="1" applyBorder="1" applyAlignment="1">
      <alignment/>
    </xf>
    <xf numFmtId="1" fontId="7" fillId="0" borderId="1" xfId="0" applyNumberFormat="1" applyFont="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xf>
    <xf numFmtId="1" fontId="7" fillId="0" borderId="7" xfId="0" applyNumberFormat="1" applyFont="1" applyBorder="1" applyAlignment="1">
      <alignment horizontal="center"/>
    </xf>
    <xf numFmtId="1" fontId="7" fillId="0" borderId="8" xfId="0" applyNumberFormat="1" applyFont="1" applyBorder="1" applyAlignment="1">
      <alignment horizontal="center"/>
    </xf>
    <xf numFmtId="0" fontId="7" fillId="0" borderId="8" xfId="0" applyFont="1" applyBorder="1" applyAlignment="1">
      <alignment horizontal="center"/>
    </xf>
    <xf numFmtId="0" fontId="7" fillId="2" borderId="4" xfId="0" applyFont="1" applyFill="1" applyBorder="1" applyAlignment="1" applyProtection="1">
      <alignment/>
      <protection locked="0"/>
    </xf>
    <xf numFmtId="0" fontId="7" fillId="2" borderId="4" xfId="0" applyFont="1" applyFill="1" applyBorder="1" applyAlignment="1" applyProtection="1">
      <alignment horizontal="center"/>
      <protection locked="0"/>
    </xf>
    <xf numFmtId="0" fontId="30" fillId="0" borderId="0" xfId="0" applyFont="1" applyAlignment="1">
      <alignment/>
    </xf>
    <xf numFmtId="0" fontId="30" fillId="0" borderId="0" xfId="0" applyFont="1" applyAlignment="1">
      <alignment/>
    </xf>
    <xf numFmtId="0" fontId="7" fillId="0" borderId="0" xfId="0" applyFont="1" applyAlignment="1">
      <alignment horizontal="right"/>
    </xf>
    <xf numFmtId="0" fontId="6" fillId="3" borderId="4" xfId="0" applyFont="1" applyFill="1" applyBorder="1" applyAlignment="1">
      <alignment horizontal="center"/>
    </xf>
    <xf numFmtId="0" fontId="27" fillId="0" borderId="0" xfId="0" applyNumberFormat="1" applyFont="1" applyFill="1" applyBorder="1" applyAlignment="1" applyProtection="1">
      <alignment horizontal="center"/>
      <protection/>
    </xf>
    <xf numFmtId="169" fontId="7"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7" fillId="0" borderId="5"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1" fontId="7" fillId="0" borderId="0" xfId="0" applyNumberFormat="1" applyFont="1" applyFill="1" applyBorder="1" applyAlignment="1" applyProtection="1">
      <alignment/>
      <protection/>
    </xf>
    <xf numFmtId="1" fontId="7" fillId="0" borderId="0" xfId="0" applyNumberFormat="1" applyFont="1" applyAlignment="1">
      <alignment/>
    </xf>
    <xf numFmtId="0" fontId="7" fillId="0" borderId="0" xfId="0" applyFont="1" applyAlignment="1">
      <alignment horizontal="left"/>
    </xf>
    <xf numFmtId="49" fontId="17" fillId="0" borderId="0" xfId="0" applyNumberFormat="1" applyFont="1" applyFill="1" applyBorder="1" applyAlignment="1" applyProtection="1">
      <alignment horizontal="left"/>
      <protection/>
    </xf>
    <xf numFmtId="49" fontId="19" fillId="0" borderId="0" xfId="0" applyNumberFormat="1" applyFont="1" applyFill="1" applyBorder="1" applyAlignment="1" applyProtection="1">
      <alignment horizontal="left"/>
      <protection/>
    </xf>
    <xf numFmtId="0" fontId="28" fillId="0" borderId="0" xfId="0" applyFont="1" applyFill="1" applyAlignment="1" applyProtection="1">
      <alignment horizontal="center"/>
      <protection/>
    </xf>
    <xf numFmtId="49" fontId="19" fillId="0" borderId="0" xfId="0" applyNumberFormat="1" applyFont="1" applyFill="1" applyBorder="1" applyAlignment="1" applyProtection="1">
      <alignment/>
      <protection/>
    </xf>
    <xf numFmtId="171" fontId="17" fillId="0" borderId="0" xfId="0" applyNumberFormat="1" applyFont="1" applyFill="1" applyBorder="1" applyAlignment="1" applyProtection="1">
      <alignment horizontal="center"/>
      <protection/>
    </xf>
    <xf numFmtId="168" fontId="17" fillId="0" borderId="0" xfId="0" applyNumberFormat="1" applyFont="1" applyFill="1" applyBorder="1" applyAlignment="1" applyProtection="1">
      <alignment horizontal="center"/>
      <protection/>
    </xf>
    <xf numFmtId="0" fontId="7" fillId="0" borderId="0" xfId="0" applyFont="1" applyFill="1" applyBorder="1" applyAlignment="1" applyProtection="1">
      <alignment/>
      <protection/>
    </xf>
    <xf numFmtId="0" fontId="9" fillId="0" borderId="0" xfId="0" applyFont="1" applyFill="1" applyBorder="1" applyAlignment="1" applyProtection="1">
      <alignment/>
      <protection/>
    </xf>
    <xf numFmtId="168" fontId="19"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9" fillId="0" borderId="0" xfId="0" applyNumberFormat="1" applyFont="1" applyFill="1" applyBorder="1" applyAlignment="1" applyProtection="1">
      <alignment/>
      <protection/>
    </xf>
    <xf numFmtId="0" fontId="9" fillId="0" borderId="0" xfId="0"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6" fillId="0" borderId="0" xfId="0" applyFont="1" applyAlignment="1" applyProtection="1">
      <alignment/>
      <protection/>
    </xf>
    <xf numFmtId="49" fontId="19" fillId="0" borderId="0" xfId="0" applyNumberFormat="1" applyFont="1" applyFill="1" applyBorder="1" applyAlignment="1" applyProtection="1">
      <alignment horizontal="center"/>
      <protection/>
    </xf>
    <xf numFmtId="0" fontId="7" fillId="0" borderId="0" xfId="0" applyFont="1" applyAlignment="1" applyProtection="1">
      <alignment/>
      <protection/>
    </xf>
    <xf numFmtId="0" fontId="7" fillId="0" borderId="3" xfId="0" applyFont="1" applyBorder="1" applyAlignment="1" applyProtection="1">
      <alignment/>
      <protection/>
    </xf>
    <xf numFmtId="0" fontId="7" fillId="0" borderId="6" xfId="0" applyFont="1" applyBorder="1" applyAlignment="1" applyProtection="1">
      <alignment/>
      <protection/>
    </xf>
    <xf numFmtId="1" fontId="7" fillId="2" borderId="9" xfId="0" applyNumberFormat="1" applyFont="1" applyFill="1" applyBorder="1" applyAlignment="1" applyProtection="1">
      <alignment horizontal="center"/>
      <protection/>
    </xf>
    <xf numFmtId="1" fontId="7" fillId="2" borderId="10" xfId="0" applyNumberFormat="1" applyFont="1" applyFill="1" applyBorder="1" applyAlignment="1" applyProtection="1">
      <alignment horizontal="center"/>
      <protection/>
    </xf>
    <xf numFmtId="1" fontId="7" fillId="2" borderId="4" xfId="0" applyNumberFormat="1" applyFont="1" applyFill="1" applyBorder="1" applyAlignment="1" applyProtection="1">
      <alignment horizontal="center"/>
      <protection/>
    </xf>
    <xf numFmtId="0" fontId="7" fillId="0" borderId="11" xfId="0" applyFont="1" applyFill="1" applyBorder="1" applyAlignment="1">
      <alignment horizontal="center"/>
    </xf>
    <xf numFmtId="0" fontId="7" fillId="2" borderId="0" xfId="0" applyNumberFormat="1" applyFont="1" applyFill="1" applyBorder="1" applyAlignment="1" applyProtection="1">
      <alignment/>
      <protection/>
    </xf>
    <xf numFmtId="1" fontId="7" fillId="0" borderId="4" xfId="0" applyNumberFormat="1" applyFont="1" applyFill="1" applyBorder="1" applyAlignment="1" applyProtection="1">
      <alignment horizontal="center"/>
      <protection/>
    </xf>
    <xf numFmtId="1" fontId="7" fillId="0" borderId="0" xfId="0" applyNumberFormat="1" applyFont="1" applyAlignment="1">
      <alignment horizontal="center"/>
    </xf>
    <xf numFmtId="0" fontId="43" fillId="0" borderId="0" xfId="0" applyFont="1" applyAlignment="1">
      <alignment wrapText="1"/>
    </xf>
    <xf numFmtId="0" fontId="44" fillId="0" borderId="0" xfId="0" applyFont="1" applyAlignment="1">
      <alignment horizontal="left" wrapText="1"/>
    </xf>
    <xf numFmtId="0" fontId="45" fillId="0" borderId="0" xfId="0" applyNumberFormat="1" applyFont="1" applyAlignment="1">
      <alignment horizontal="left" vertical="top" wrapText="1"/>
    </xf>
    <xf numFmtId="0" fontId="43" fillId="0" borderId="0" xfId="0" applyFont="1" applyAlignment="1">
      <alignment horizontal="left" wrapText="1"/>
    </xf>
    <xf numFmtId="0" fontId="29" fillId="0" borderId="0" xfId="0" applyFont="1" applyAlignment="1">
      <alignment/>
    </xf>
    <xf numFmtId="0" fontId="0" fillId="0" borderId="0" xfId="0" applyFont="1" applyAlignment="1">
      <alignment/>
    </xf>
    <xf numFmtId="0" fontId="0" fillId="0" borderId="0" xfId="0" applyFont="1" applyAlignment="1">
      <alignment/>
    </xf>
    <xf numFmtId="49" fontId="7" fillId="0" borderId="3" xfId="0" applyNumberFormat="1" applyFont="1" applyFill="1" applyBorder="1" applyAlignment="1" applyProtection="1">
      <alignment/>
      <protection/>
    </xf>
    <xf numFmtId="49" fontId="7" fillId="0" borderId="1" xfId="0" applyNumberFormat="1" applyFont="1" applyFill="1" applyBorder="1" applyAlignment="1" applyProtection="1">
      <alignment/>
      <protection/>
    </xf>
    <xf numFmtId="49" fontId="22" fillId="0" borderId="0" xfId="0" applyNumberFormat="1" applyFont="1" applyFill="1" applyBorder="1" applyAlignment="1" applyProtection="1">
      <alignment/>
      <protection/>
    </xf>
    <xf numFmtId="49" fontId="7" fillId="0" borderId="0" xfId="0" applyNumberFormat="1" applyFont="1" applyFill="1" applyBorder="1" applyAlignment="1" applyProtection="1">
      <alignment horizontal="right"/>
      <protection/>
    </xf>
    <xf numFmtId="49" fontId="7" fillId="0" borderId="0" xfId="0" applyNumberFormat="1" applyFont="1" applyFill="1" applyBorder="1" applyAlignment="1" applyProtection="1">
      <alignment horizontal="left"/>
      <protection/>
    </xf>
    <xf numFmtId="49" fontId="7" fillId="0" borderId="6" xfId="0" applyNumberFormat="1" applyFont="1" applyFill="1" applyBorder="1" applyAlignment="1" applyProtection="1">
      <alignment/>
      <protection/>
    </xf>
    <xf numFmtId="49" fontId="7" fillId="0" borderId="6" xfId="0" applyNumberFormat="1" applyFont="1" applyFill="1" applyBorder="1" applyAlignment="1" applyProtection="1">
      <alignment horizontal="left"/>
      <protection/>
    </xf>
    <xf numFmtId="49" fontId="41" fillId="0" borderId="0" xfId="0" applyNumberFormat="1" applyFont="1" applyFill="1" applyBorder="1" applyAlignment="1" applyProtection="1">
      <alignment horizontal="left"/>
      <protection/>
    </xf>
    <xf numFmtId="49" fontId="7" fillId="0" borderId="11" xfId="0" applyNumberFormat="1" applyFont="1" applyFill="1" applyBorder="1" applyAlignment="1" applyProtection="1">
      <alignment horizontal="left"/>
      <protection/>
    </xf>
    <xf numFmtId="0" fontId="19" fillId="4" borderId="12" xfId="0" applyNumberFormat="1" applyFont="1" applyFill="1" applyBorder="1" applyAlignment="1" applyProtection="1">
      <alignment horizontal="center"/>
      <protection/>
    </xf>
    <xf numFmtId="0" fontId="19" fillId="4" borderId="13" xfId="0" applyNumberFormat="1" applyFont="1" applyFill="1" applyBorder="1" applyAlignment="1" applyProtection="1">
      <alignment horizontal="center"/>
      <protection/>
    </xf>
    <xf numFmtId="0" fontId="19" fillId="4" borderId="14" xfId="0" applyNumberFormat="1" applyFont="1" applyFill="1" applyBorder="1" applyAlignment="1" applyProtection="1">
      <alignment horizontal="center"/>
      <protection/>
    </xf>
    <xf numFmtId="49" fontId="19" fillId="0" borderId="15" xfId="0" applyNumberFormat="1" applyFont="1" applyFill="1" applyBorder="1" applyAlignment="1" applyProtection="1">
      <alignment horizontal="left" indent="1"/>
      <protection/>
    </xf>
    <xf numFmtId="49" fontId="19" fillId="0" borderId="16" xfId="0" applyNumberFormat="1" applyFont="1" applyFill="1" applyBorder="1" applyAlignment="1" applyProtection="1">
      <alignment horizontal="left" indent="1"/>
      <protection/>
    </xf>
    <xf numFmtId="49" fontId="19" fillId="0" borderId="17" xfId="0" applyNumberFormat="1" applyFont="1" applyFill="1" applyBorder="1" applyAlignment="1" applyProtection="1">
      <alignment horizontal="left" indent="1"/>
      <protection/>
    </xf>
    <xf numFmtId="0" fontId="19" fillId="0" borderId="18"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protection/>
    </xf>
    <xf numFmtId="0" fontId="38" fillId="0" borderId="18" xfId="0" applyFont="1" applyBorder="1" applyAlignment="1" applyProtection="1">
      <alignment horizontal="center"/>
      <protection/>
    </xf>
    <xf numFmtId="0" fontId="38" fillId="0" borderId="16" xfId="0" applyFont="1" applyBorder="1" applyAlignment="1" applyProtection="1">
      <alignment horizontal="center"/>
      <protection/>
    </xf>
    <xf numFmtId="0" fontId="38" fillId="0" borderId="17" xfId="0" applyFont="1" applyBorder="1" applyAlignment="1" applyProtection="1">
      <alignment horizontal="center"/>
      <protection/>
    </xf>
    <xf numFmtId="0" fontId="19" fillId="0" borderId="19" xfId="0" applyNumberFormat="1" applyFont="1" applyFill="1" applyBorder="1" applyAlignment="1" applyProtection="1">
      <alignment horizontal="center"/>
      <protection/>
    </xf>
    <xf numFmtId="0" fontId="8" fillId="0" borderId="0" xfId="0" applyNumberFormat="1" applyFont="1" applyFill="1" applyBorder="1" applyAlignment="1" applyProtection="1">
      <alignment/>
      <protection/>
    </xf>
    <xf numFmtId="49" fontId="20" fillId="0" borderId="0" xfId="0" applyNumberFormat="1" applyFont="1" applyFill="1" applyBorder="1" applyAlignment="1" applyProtection="1">
      <alignment/>
      <protection/>
    </xf>
    <xf numFmtId="49" fontId="20" fillId="0" borderId="16" xfId="0" applyNumberFormat="1" applyFont="1" applyFill="1" applyBorder="1" applyAlignment="1" applyProtection="1">
      <alignment/>
      <protection/>
    </xf>
    <xf numFmtId="49" fontId="20" fillId="0" borderId="17" xfId="0" applyNumberFormat="1" applyFont="1" applyFill="1" applyBorder="1" applyAlignment="1" applyProtection="1">
      <alignment/>
      <protection/>
    </xf>
    <xf numFmtId="49" fontId="9" fillId="0" borderId="0" xfId="0" applyNumberFormat="1" applyFont="1" applyFill="1" applyBorder="1" applyAlignment="1" applyProtection="1">
      <alignment/>
      <protection/>
    </xf>
    <xf numFmtId="49" fontId="9" fillId="0" borderId="0" xfId="0" applyNumberFormat="1" applyFont="1" applyAlignment="1" applyProtection="1">
      <alignment horizontal="center"/>
      <protection/>
    </xf>
    <xf numFmtId="49" fontId="20" fillId="0" borderId="18"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41" fillId="0" borderId="11" xfId="0" applyNumberFormat="1" applyFont="1" applyFill="1" applyBorder="1" applyAlignment="1" applyProtection="1">
      <alignment horizontal="left"/>
      <protection/>
    </xf>
    <xf numFmtId="49" fontId="19" fillId="0" borderId="20" xfId="0" applyNumberFormat="1" applyFont="1" applyFill="1" applyBorder="1" applyAlignment="1" applyProtection="1">
      <alignment horizontal="center"/>
      <protection/>
    </xf>
    <xf numFmtId="49" fontId="19" fillId="0" borderId="18" xfId="0" applyNumberFormat="1" applyFont="1" applyFill="1" applyBorder="1" applyAlignment="1" applyProtection="1">
      <alignment horizontal="center"/>
      <protection/>
    </xf>
    <xf numFmtId="49" fontId="19" fillId="0" borderId="12" xfId="0" applyNumberFormat="1" applyFont="1" applyFill="1" applyBorder="1" applyAlignment="1" applyProtection="1">
      <alignment horizontal="center"/>
      <protection/>
    </xf>
    <xf numFmtId="0" fontId="19" fillId="0" borderId="16" xfId="0" applyNumberFormat="1" applyFont="1" applyFill="1" applyBorder="1" applyAlignment="1" applyProtection="1">
      <alignment horizontal="center"/>
      <protection/>
    </xf>
    <xf numFmtId="49" fontId="14" fillId="0" borderId="4" xfId="0" applyNumberFormat="1" applyFont="1" applyFill="1" applyBorder="1" applyAlignment="1" applyProtection="1">
      <alignment horizontal="center"/>
      <protection/>
    </xf>
    <xf numFmtId="49" fontId="7" fillId="0" borderId="0" xfId="0" applyNumberFormat="1" applyFont="1" applyFill="1" applyBorder="1" applyAlignment="1" applyProtection="1">
      <alignment vertical="center"/>
      <protection locked="0"/>
    </xf>
    <xf numFmtId="49" fontId="7" fillId="0" borderId="8" xfId="0" applyNumberFormat="1" applyFont="1" applyFill="1" applyBorder="1" applyAlignment="1" applyProtection="1">
      <alignment vertical="center"/>
      <protection locked="0"/>
    </xf>
    <xf numFmtId="49" fontId="7" fillId="0" borderId="11" xfId="0" applyNumberFormat="1" applyFont="1" applyFill="1" applyBorder="1" applyAlignment="1" applyProtection="1">
      <alignment vertical="center"/>
      <protection locked="0"/>
    </xf>
    <xf numFmtId="49" fontId="7" fillId="0" borderId="21" xfId="0" applyNumberFormat="1" applyFont="1" applyFill="1" applyBorder="1" applyAlignment="1" applyProtection="1">
      <alignment vertical="center"/>
      <protection locked="0"/>
    </xf>
    <xf numFmtId="0" fontId="6" fillId="0" borderId="3" xfId="0" applyNumberFormat="1" applyFont="1" applyFill="1" applyBorder="1" applyAlignment="1" applyProtection="1">
      <alignment/>
      <protection locked="0"/>
    </xf>
    <xf numFmtId="0" fontId="6" fillId="0" borderId="1" xfId="0" applyNumberFormat="1" applyFont="1" applyFill="1" applyBorder="1" applyAlignment="1" applyProtection="1">
      <alignment/>
      <protection locked="0"/>
    </xf>
    <xf numFmtId="0" fontId="6" fillId="0" borderId="7" xfId="0" applyNumberFormat="1" applyFont="1" applyFill="1" applyBorder="1" applyAlignment="1" applyProtection="1">
      <alignment/>
      <protection locked="0"/>
    </xf>
    <xf numFmtId="0" fontId="6" fillId="0" borderId="6" xfId="0" applyNumberFormat="1" applyFont="1" applyFill="1" applyBorder="1" applyAlignment="1" applyProtection="1">
      <alignment/>
      <protection locked="0"/>
    </xf>
    <xf numFmtId="0" fontId="6" fillId="0" borderId="0" xfId="0" applyNumberFormat="1" applyFont="1" applyFill="1" applyBorder="1" applyAlignment="1" applyProtection="1">
      <alignment/>
      <protection locked="0"/>
    </xf>
    <xf numFmtId="0" fontId="6" fillId="0" borderId="8" xfId="0" applyNumberFormat="1" applyFont="1" applyFill="1" applyBorder="1" applyAlignment="1" applyProtection="1">
      <alignment/>
      <protection locked="0"/>
    </xf>
    <xf numFmtId="0" fontId="31" fillId="0" borderId="6" xfId="0" applyNumberFormat="1" applyFont="1" applyFill="1" applyBorder="1" applyAlignment="1" applyProtection="1">
      <alignment/>
      <protection locked="0"/>
    </xf>
    <xf numFmtId="0" fontId="31" fillId="0" borderId="0" xfId="0" applyNumberFormat="1" applyFont="1" applyFill="1" applyBorder="1" applyAlignment="1" applyProtection="1">
      <alignment/>
      <protection locked="0"/>
    </xf>
    <xf numFmtId="0" fontId="31" fillId="0" borderId="8" xfId="0" applyNumberFormat="1" applyFont="1" applyFill="1" applyBorder="1" applyAlignment="1" applyProtection="1">
      <alignment/>
      <protection locked="0"/>
    </xf>
    <xf numFmtId="0" fontId="31" fillId="0" borderId="22" xfId="0" applyNumberFormat="1" applyFont="1" applyFill="1" applyBorder="1" applyAlignment="1" applyProtection="1">
      <alignment/>
      <protection locked="0"/>
    </xf>
    <xf numFmtId="0" fontId="31" fillId="0" borderId="11" xfId="0" applyNumberFormat="1" applyFont="1" applyFill="1" applyBorder="1" applyAlignment="1" applyProtection="1">
      <alignment/>
      <protection locked="0"/>
    </xf>
    <xf numFmtId="0" fontId="31" fillId="0" borderId="21" xfId="0" applyNumberFormat="1" applyFont="1" applyFill="1" applyBorder="1" applyAlignment="1" applyProtection="1">
      <alignment/>
      <protection locked="0"/>
    </xf>
    <xf numFmtId="0" fontId="7" fillId="0" borderId="0" xfId="0" applyFont="1" applyAlignment="1">
      <alignment/>
    </xf>
    <xf numFmtId="0" fontId="47" fillId="0" borderId="12" xfId="0" applyNumberFormat="1" applyFont="1" applyFill="1" applyBorder="1" applyAlignment="1" applyProtection="1">
      <alignment/>
      <protection/>
    </xf>
    <xf numFmtId="0" fontId="47" fillId="0" borderId="13" xfId="0" applyNumberFormat="1" applyFont="1" applyFill="1" applyBorder="1" applyAlignment="1" applyProtection="1">
      <alignment/>
      <protection/>
    </xf>
    <xf numFmtId="0" fontId="47" fillId="0" borderId="14" xfId="0" applyNumberFormat="1" applyFont="1" applyFill="1" applyBorder="1" applyAlignment="1" applyProtection="1">
      <alignment/>
      <protection/>
    </xf>
    <xf numFmtId="0" fontId="47" fillId="0" borderId="18" xfId="0" applyNumberFormat="1" applyFont="1" applyFill="1" applyBorder="1" applyAlignment="1" applyProtection="1">
      <alignment/>
      <protection/>
    </xf>
    <xf numFmtId="0" fontId="47" fillId="0" borderId="16" xfId="0" applyNumberFormat="1" applyFont="1" applyFill="1" applyBorder="1" applyAlignment="1" applyProtection="1">
      <alignment/>
      <protection/>
    </xf>
    <xf numFmtId="0" fontId="47" fillId="0" borderId="17" xfId="0" applyNumberFormat="1" applyFont="1" applyFill="1" applyBorder="1" applyAlignment="1" applyProtection="1">
      <alignment/>
      <protection/>
    </xf>
    <xf numFmtId="0" fontId="47" fillId="0" borderId="20" xfId="0" applyNumberFormat="1" applyFont="1" applyFill="1" applyBorder="1" applyAlignment="1" applyProtection="1">
      <alignment/>
      <protection/>
    </xf>
    <xf numFmtId="0" fontId="47" fillId="0" borderId="23" xfId="0" applyNumberFormat="1" applyFont="1" applyFill="1" applyBorder="1" applyAlignment="1" applyProtection="1">
      <alignment/>
      <protection/>
    </xf>
    <xf numFmtId="0" fontId="47" fillId="0" borderId="24" xfId="0" applyNumberFormat="1" applyFont="1" applyFill="1" applyBorder="1" applyAlignment="1" applyProtection="1">
      <alignment/>
      <protection/>
    </xf>
    <xf numFmtId="49" fontId="14" fillId="0" borderId="5"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locked="0"/>
    </xf>
    <xf numFmtId="174" fontId="31" fillId="0" borderId="0" xfId="0" applyNumberFormat="1" applyFont="1" applyBorder="1" applyAlignment="1" applyProtection="1">
      <alignment/>
      <protection locked="0"/>
    </xf>
    <xf numFmtId="0" fontId="7" fillId="0" borderId="0" xfId="0" applyNumberFormat="1" applyFont="1" applyFill="1" applyBorder="1" applyAlignment="1" applyProtection="1">
      <alignment/>
      <protection locked="0"/>
    </xf>
    <xf numFmtId="0" fontId="7" fillId="0" borderId="0" xfId="0" applyFont="1" applyBorder="1" applyAlignment="1" applyProtection="1">
      <alignment/>
      <protection locked="0"/>
    </xf>
    <xf numFmtId="0" fontId="31" fillId="0" borderId="0" xfId="0" applyFont="1" applyBorder="1" applyAlignment="1" applyProtection="1">
      <alignment/>
      <protection locked="0"/>
    </xf>
    <xf numFmtId="49" fontId="17" fillId="0" borderId="0" xfId="0" applyNumberFormat="1" applyFont="1" applyFill="1" applyBorder="1" applyAlignment="1" applyProtection="1">
      <alignment vertical="center"/>
      <protection locked="0"/>
    </xf>
    <xf numFmtId="0" fontId="51" fillId="0" borderId="0" xfId="21" applyFont="1" applyAlignment="1">
      <alignment/>
      <protection/>
    </xf>
    <xf numFmtId="0" fontId="51" fillId="0" borderId="0" xfId="21" applyFont="1" applyAlignment="1">
      <alignment horizontal="center"/>
      <protection/>
    </xf>
    <xf numFmtId="0" fontId="51" fillId="0" borderId="25" xfId="21" applyFont="1" applyBorder="1" applyAlignment="1">
      <alignment/>
      <protection/>
    </xf>
    <xf numFmtId="0" fontId="52" fillId="0" borderId="0" xfId="21" applyFont="1" applyAlignment="1">
      <alignment/>
      <protection/>
    </xf>
    <xf numFmtId="0" fontId="52" fillId="0" borderId="0" xfId="21" applyFont="1" applyAlignment="1">
      <alignment horizontal="center"/>
      <protection/>
    </xf>
    <xf numFmtId="0" fontId="52" fillId="0" borderId="25" xfId="21" applyFont="1" applyBorder="1" applyAlignment="1">
      <alignment/>
      <protection/>
    </xf>
    <xf numFmtId="0" fontId="52" fillId="0" borderId="25" xfId="21" applyFont="1" applyFill="1" applyBorder="1" applyAlignment="1">
      <alignment/>
      <protection/>
    </xf>
    <xf numFmtId="0" fontId="52" fillId="0" borderId="0" xfId="21" applyFont="1" applyAlignment="1">
      <alignment horizontal="left"/>
      <protection/>
    </xf>
    <xf numFmtId="0" fontId="7" fillId="0" borderId="4" xfId="0" applyNumberFormat="1" applyFont="1" applyFill="1" applyBorder="1" applyAlignment="1" applyProtection="1">
      <alignment horizontal="center"/>
      <protection/>
    </xf>
    <xf numFmtId="0" fontId="52" fillId="0" borderId="0" xfId="0" applyFont="1" applyAlignment="1">
      <alignment/>
    </xf>
    <xf numFmtId="0" fontId="51" fillId="4" borderId="26" xfId="21" applyFont="1" applyFill="1" applyBorder="1" applyAlignment="1">
      <alignment/>
      <protection/>
    </xf>
    <xf numFmtId="0" fontId="57" fillId="0" borderId="26" xfId="21" applyFont="1" applyBorder="1" applyAlignment="1">
      <alignment/>
      <protection/>
    </xf>
    <xf numFmtId="0" fontId="57" fillId="2" borderId="26" xfId="21" applyFont="1" applyFill="1" applyBorder="1" applyAlignment="1">
      <alignment/>
      <protection/>
    </xf>
    <xf numFmtId="0" fontId="44" fillId="0" borderId="0" xfId="0" applyFont="1" applyAlignment="1">
      <alignment horizontal="left"/>
    </xf>
    <xf numFmtId="0" fontId="43" fillId="0" borderId="0" xfId="0" applyFont="1" applyAlignment="1">
      <alignment/>
    </xf>
    <xf numFmtId="0" fontId="59" fillId="0" borderId="0" xfId="0" applyFont="1" applyAlignment="1">
      <alignment horizontal="center"/>
    </xf>
    <xf numFmtId="0" fontId="44" fillId="0" borderId="0" xfId="0" applyFont="1" applyAlignment="1">
      <alignment horizontal="center"/>
    </xf>
    <xf numFmtId="0" fontId="52" fillId="0" borderId="0" xfId="0" applyFont="1" applyAlignment="1">
      <alignment horizontal="center"/>
    </xf>
    <xf numFmtId="0" fontId="43" fillId="0" borderId="0" xfId="0" applyFont="1" applyAlignment="1">
      <alignment horizontal="center"/>
    </xf>
    <xf numFmtId="0" fontId="51" fillId="4" borderId="26" xfId="21" applyFont="1" applyFill="1" applyBorder="1" applyAlignment="1">
      <alignment horizontal="center"/>
      <protection/>
    </xf>
    <xf numFmtId="0" fontId="57" fillId="0" borderId="26" xfId="21" applyFont="1" applyBorder="1" applyAlignment="1">
      <alignment horizontal="center"/>
      <protection/>
    </xf>
    <xf numFmtId="0" fontId="57" fillId="2" borderId="26" xfId="21" applyFont="1" applyFill="1" applyBorder="1" applyAlignment="1">
      <alignment horizontal="center"/>
      <protection/>
    </xf>
    <xf numFmtId="0" fontId="60" fillId="0" borderId="0" xfId="0" applyFont="1" applyAlignment="1">
      <alignment horizontal="left"/>
    </xf>
    <xf numFmtId="0" fontId="51" fillId="5" borderId="26" xfId="21" applyFont="1" applyFill="1" applyBorder="1" applyAlignment="1">
      <alignment horizontal="center"/>
      <protection/>
    </xf>
    <xf numFmtId="0" fontId="51" fillId="5" borderId="26" xfId="21" applyFont="1" applyFill="1" applyBorder="1" applyAlignment="1">
      <alignment/>
      <protection/>
    </xf>
    <xf numFmtId="0" fontId="51" fillId="6" borderId="26" xfId="21" applyFont="1" applyFill="1" applyBorder="1" applyAlignment="1">
      <alignment horizontal="center"/>
      <protection/>
    </xf>
    <xf numFmtId="0" fontId="51" fillId="6" borderId="26" xfId="21" applyFont="1" applyFill="1" applyBorder="1" applyAlignment="1">
      <alignment/>
      <protection/>
    </xf>
    <xf numFmtId="168" fontId="19" fillId="0" borderId="2" xfId="0" applyNumberFormat="1" applyFont="1" applyFill="1" applyBorder="1" applyAlignment="1" applyProtection="1">
      <alignment horizontal="center"/>
      <protection/>
    </xf>
    <xf numFmtId="1" fontId="12" fillId="0" borderId="0" xfId="0" applyNumberFormat="1" applyFont="1" applyFill="1" applyBorder="1" applyAlignment="1" applyProtection="1">
      <alignment horizontal="center" vertical="center"/>
      <protection/>
    </xf>
    <xf numFmtId="0" fontId="18" fillId="0" borderId="27" xfId="0" applyFont="1" applyFill="1" applyBorder="1" applyAlignment="1" applyProtection="1">
      <alignment horizontal="center"/>
      <protection/>
    </xf>
    <xf numFmtId="0" fontId="6" fillId="0" borderId="22"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0" xfId="0" applyFont="1" applyFill="1" applyBorder="1" applyAlignment="1" applyProtection="1">
      <alignment/>
      <protection/>
    </xf>
    <xf numFmtId="0" fontId="17" fillId="0" borderId="28" xfId="0" applyNumberFormat="1" applyFont="1" applyFill="1" applyBorder="1" applyAlignment="1" applyProtection="1">
      <alignment horizontal="center"/>
      <protection/>
    </xf>
    <xf numFmtId="1" fontId="19" fillId="0" borderId="11"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protection/>
    </xf>
    <xf numFmtId="49" fontId="19" fillId="0" borderId="1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right"/>
      <protection/>
    </xf>
    <xf numFmtId="49" fontId="19" fillId="0" borderId="2" xfId="0" applyNumberFormat="1" applyFont="1" applyFill="1" applyBorder="1" applyAlignment="1" applyProtection="1">
      <alignment horizontal="center"/>
      <protection/>
    </xf>
    <xf numFmtId="49" fontId="22" fillId="0" borderId="11" xfId="0" applyNumberFormat="1" applyFont="1" applyFill="1" applyBorder="1" applyAlignment="1" applyProtection="1">
      <alignment horizontal="center"/>
      <protection/>
    </xf>
    <xf numFmtId="49" fontId="7" fillId="0" borderId="0" xfId="0" applyNumberFormat="1" applyFont="1" applyFill="1" applyBorder="1" applyAlignment="1" applyProtection="1">
      <alignment horizontal="right"/>
      <protection/>
    </xf>
    <xf numFmtId="49" fontId="16" fillId="0" borderId="11" xfId="0" applyNumberFormat="1" applyFont="1" applyFill="1" applyBorder="1" applyAlignment="1" applyProtection="1">
      <alignment horizontal="center"/>
      <protection/>
    </xf>
    <xf numFmtId="0" fontId="16" fillId="0" borderId="1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49" fontId="19" fillId="0" borderId="24" xfId="0" applyNumberFormat="1" applyFont="1" applyFill="1" applyBorder="1" applyAlignment="1" applyProtection="1">
      <alignment horizontal="left"/>
      <protection/>
    </xf>
    <xf numFmtId="49" fontId="19" fillId="0" borderId="24" xfId="0" applyNumberFormat="1" applyFont="1" applyFill="1" applyBorder="1" applyAlignment="1" applyProtection="1">
      <alignment horizontal="center"/>
      <protection/>
    </xf>
    <xf numFmtId="1" fontId="19" fillId="0" borderId="18" xfId="0" applyNumberFormat="1" applyFont="1" applyFill="1" applyBorder="1" applyAlignment="1" applyProtection="1">
      <alignment horizontal="center"/>
      <protection/>
    </xf>
    <xf numFmtId="1" fontId="19" fillId="0" borderId="17" xfId="0" applyNumberFormat="1" applyFont="1" applyFill="1" applyBorder="1" applyAlignment="1" applyProtection="1">
      <alignment horizontal="center"/>
      <protection/>
    </xf>
    <xf numFmtId="49" fontId="19" fillId="0" borderId="18" xfId="0" applyNumberFormat="1" applyFont="1" applyFill="1" applyBorder="1" applyAlignment="1" applyProtection="1">
      <alignment horizontal="left"/>
      <protection/>
    </xf>
    <xf numFmtId="49" fontId="19" fillId="0" borderId="16" xfId="0" applyNumberFormat="1" applyFont="1" applyFill="1" applyBorder="1" applyAlignment="1" applyProtection="1">
      <alignment horizontal="left"/>
      <protection/>
    </xf>
    <xf numFmtId="49" fontId="19" fillId="0" borderId="17" xfId="0" applyNumberFormat="1" applyFont="1" applyFill="1" applyBorder="1" applyAlignment="1" applyProtection="1">
      <alignment horizontal="left"/>
      <protection/>
    </xf>
    <xf numFmtId="49" fontId="19" fillId="0" borderId="20" xfId="0" applyNumberFormat="1" applyFont="1" applyFill="1" applyBorder="1" applyAlignment="1" applyProtection="1">
      <alignment horizontal="left"/>
      <protection/>
    </xf>
    <xf numFmtId="49" fontId="19" fillId="0" borderId="23" xfId="0" applyNumberFormat="1" applyFont="1" applyFill="1" applyBorder="1" applyAlignment="1" applyProtection="1">
      <alignment horizontal="left"/>
      <protection/>
    </xf>
    <xf numFmtId="49" fontId="19" fillId="0" borderId="18" xfId="0" applyNumberFormat="1" applyFont="1" applyFill="1" applyBorder="1" applyAlignment="1" applyProtection="1">
      <alignment horizontal="center"/>
      <protection/>
    </xf>
    <xf numFmtId="49" fontId="19" fillId="0" borderId="16" xfId="0" applyNumberFormat="1" applyFont="1" applyFill="1" applyBorder="1" applyAlignment="1" applyProtection="1">
      <alignment horizontal="center"/>
      <protection/>
    </xf>
    <xf numFmtId="49" fontId="19" fillId="0" borderId="17" xfId="0" applyNumberFormat="1" applyFont="1" applyFill="1" applyBorder="1" applyAlignment="1" applyProtection="1">
      <alignment horizontal="center"/>
      <protection/>
    </xf>
    <xf numFmtId="49" fontId="19" fillId="0" borderId="20" xfId="0" applyNumberFormat="1" applyFont="1" applyFill="1" applyBorder="1" applyAlignment="1" applyProtection="1">
      <alignment horizontal="center"/>
      <protection/>
    </xf>
    <xf numFmtId="49" fontId="19" fillId="0" borderId="23" xfId="0" applyNumberFormat="1" applyFont="1" applyFill="1" applyBorder="1" applyAlignment="1" applyProtection="1">
      <alignment horizontal="center"/>
      <protection/>
    </xf>
    <xf numFmtId="1" fontId="19" fillId="0" borderId="20" xfId="0" applyNumberFormat="1" applyFont="1" applyFill="1" applyBorder="1" applyAlignment="1" applyProtection="1">
      <alignment horizontal="center"/>
      <protection/>
    </xf>
    <xf numFmtId="1" fontId="19" fillId="0" borderId="24" xfId="0" applyNumberFormat="1" applyFont="1" applyFill="1" applyBorder="1" applyAlignment="1" applyProtection="1">
      <alignment horizontal="center"/>
      <protection/>
    </xf>
    <xf numFmtId="168" fontId="14" fillId="0" borderId="29" xfId="0" applyNumberFormat="1" applyFont="1" applyFill="1" applyBorder="1" applyAlignment="1" applyProtection="1">
      <alignment horizontal="center"/>
      <protection/>
    </xf>
    <xf numFmtId="168" fontId="15" fillId="0" borderId="29" xfId="0" applyNumberFormat="1" applyFont="1" applyFill="1" applyBorder="1" applyAlignment="1" applyProtection="1">
      <alignment horizontal="center"/>
      <protection/>
    </xf>
    <xf numFmtId="168" fontId="14" fillId="0" borderId="5" xfId="0" applyNumberFormat="1" applyFont="1" applyFill="1" applyBorder="1" applyAlignment="1" applyProtection="1">
      <alignment horizontal="center"/>
      <protection/>
    </xf>
    <xf numFmtId="0" fontId="54" fillId="0" borderId="0" xfId="21" applyFont="1" applyAlignment="1">
      <alignment vertical="top" wrapText="1"/>
      <protection/>
    </xf>
    <xf numFmtId="0" fontId="7" fillId="0" borderId="11" xfId="0" applyNumberFormat="1" applyFont="1" applyFill="1" applyBorder="1" applyAlignment="1" applyProtection="1">
      <alignment horizontal="center"/>
      <protection/>
    </xf>
    <xf numFmtId="168" fontId="32" fillId="0" borderId="3" xfId="0" applyNumberFormat="1" applyFont="1" applyFill="1" applyBorder="1" applyAlignment="1" applyProtection="1">
      <alignment horizontal="center" vertical="center"/>
      <protection/>
    </xf>
    <xf numFmtId="168" fontId="32" fillId="0" borderId="7" xfId="0" applyNumberFormat="1" applyFont="1" applyFill="1" applyBorder="1" applyAlignment="1" applyProtection="1">
      <alignment horizontal="center" vertical="center"/>
      <protection/>
    </xf>
    <xf numFmtId="168" fontId="32" fillId="0" borderId="22" xfId="0" applyNumberFormat="1" applyFont="1" applyFill="1" applyBorder="1" applyAlignment="1" applyProtection="1">
      <alignment horizontal="center" vertical="center"/>
      <protection/>
    </xf>
    <xf numFmtId="168" fontId="32" fillId="0" borderId="21" xfId="0" applyNumberFormat="1" applyFont="1" applyFill="1" applyBorder="1" applyAlignment="1" applyProtection="1">
      <alignment horizontal="center" vertical="center"/>
      <protection/>
    </xf>
    <xf numFmtId="168" fontId="13" fillId="0" borderId="22" xfId="0" applyNumberFormat="1" applyFont="1" applyFill="1" applyBorder="1" applyAlignment="1" applyProtection="1">
      <alignment horizontal="center"/>
      <protection/>
    </xf>
    <xf numFmtId="168" fontId="13" fillId="0" borderId="11" xfId="0" applyNumberFormat="1" applyFont="1" applyFill="1" applyBorder="1" applyAlignment="1" applyProtection="1">
      <alignment horizontal="center"/>
      <protection/>
    </xf>
    <xf numFmtId="49" fontId="13" fillId="0" borderId="0" xfId="0" applyNumberFormat="1" applyFont="1" applyFill="1" applyBorder="1" applyAlignment="1" applyProtection="1">
      <alignment horizontal="center"/>
      <protection/>
    </xf>
    <xf numFmtId="168" fontId="19" fillId="0" borderId="29" xfId="0" applyNumberFormat="1" applyFont="1" applyFill="1" applyBorder="1" applyAlignment="1" applyProtection="1">
      <alignment horizontal="center"/>
      <protection/>
    </xf>
    <xf numFmtId="169" fontId="13" fillId="0" borderId="11" xfId="0" applyNumberFormat="1" applyFont="1" applyFill="1" applyBorder="1" applyAlignment="1" applyProtection="1">
      <alignment horizontal="center"/>
      <protection/>
    </xf>
    <xf numFmtId="168" fontId="25" fillId="0" borderId="30" xfId="0" applyNumberFormat="1" applyFont="1" applyFill="1" applyBorder="1" applyAlignment="1" applyProtection="1">
      <alignment horizontal="center"/>
      <protection/>
    </xf>
    <xf numFmtId="0" fontId="25" fillId="0" borderId="31" xfId="0" applyNumberFormat="1" applyFont="1" applyFill="1" applyBorder="1" applyAlignment="1" applyProtection="1">
      <alignment horizontal="center"/>
      <protection/>
    </xf>
    <xf numFmtId="0" fontId="25" fillId="0" borderId="32" xfId="0" applyNumberFormat="1" applyFont="1" applyFill="1" applyBorder="1" applyAlignment="1" applyProtection="1">
      <alignment horizontal="center"/>
      <protection/>
    </xf>
    <xf numFmtId="1" fontId="14" fillId="0" borderId="5" xfId="0" applyNumberFormat="1" applyFont="1" applyFill="1" applyBorder="1" applyAlignment="1" applyProtection="1">
      <alignment horizontal="center"/>
      <protection/>
    </xf>
    <xf numFmtId="1" fontId="14" fillId="0" borderId="2" xfId="0" applyNumberFormat="1" applyFont="1" applyFill="1" applyBorder="1" applyAlignment="1" applyProtection="1">
      <alignment horizontal="center"/>
      <protection/>
    </xf>
    <xf numFmtId="1" fontId="14" fillId="0" borderId="29" xfId="0" applyNumberFormat="1" applyFont="1" applyFill="1" applyBorder="1" applyAlignment="1" applyProtection="1">
      <alignment horizontal="center"/>
      <protection/>
    </xf>
    <xf numFmtId="0" fontId="7" fillId="0" borderId="33" xfId="0" applyNumberFormat="1" applyFont="1" applyFill="1" applyBorder="1" applyAlignment="1" applyProtection="1">
      <alignment horizontal="right"/>
      <protection/>
    </xf>
    <xf numFmtId="169" fontId="13" fillId="0" borderId="34"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protection/>
    </xf>
    <xf numFmtId="0" fontId="8" fillId="0" borderId="2" xfId="0" applyFont="1" applyBorder="1" applyAlignment="1" applyProtection="1">
      <alignment horizontal="center"/>
      <protection/>
    </xf>
    <xf numFmtId="49" fontId="19" fillId="0" borderId="12" xfId="0" applyNumberFormat="1" applyFont="1" applyFill="1" applyBorder="1" applyAlignment="1" applyProtection="1">
      <alignment horizontal="left"/>
      <protection/>
    </xf>
    <xf numFmtId="49" fontId="19" fillId="0" borderId="13" xfId="0" applyNumberFormat="1" applyFont="1" applyFill="1" applyBorder="1" applyAlignment="1" applyProtection="1">
      <alignment horizontal="left"/>
      <protection/>
    </xf>
    <xf numFmtId="49" fontId="19" fillId="0" borderId="14" xfId="0" applyNumberFormat="1" applyFont="1" applyFill="1" applyBorder="1" applyAlignment="1" applyProtection="1">
      <alignment horizontal="left"/>
      <protection/>
    </xf>
    <xf numFmtId="49" fontId="19" fillId="0" borderId="12" xfId="0" applyNumberFormat="1" applyFont="1" applyFill="1" applyBorder="1" applyAlignment="1" applyProtection="1">
      <alignment horizontal="center"/>
      <protection/>
    </xf>
    <xf numFmtId="49" fontId="19" fillId="0" borderId="13" xfId="0" applyNumberFormat="1" applyFont="1" applyFill="1" applyBorder="1" applyAlignment="1" applyProtection="1">
      <alignment horizontal="center"/>
      <protection/>
    </xf>
    <xf numFmtId="49" fontId="19" fillId="0" borderId="14" xfId="0" applyNumberFormat="1" applyFont="1" applyFill="1" applyBorder="1" applyAlignment="1" applyProtection="1">
      <alignment horizontal="center"/>
      <protection/>
    </xf>
    <xf numFmtId="0" fontId="27" fillId="0" borderId="5" xfId="0" applyNumberFormat="1" applyFont="1" applyFill="1" applyBorder="1" applyAlignment="1" applyProtection="1">
      <alignment horizontal="center"/>
      <protection/>
    </xf>
    <xf numFmtId="0" fontId="27" fillId="0" borderId="2" xfId="0" applyNumberFormat="1" applyFont="1" applyFill="1" applyBorder="1" applyAlignment="1" applyProtection="1">
      <alignment horizontal="center"/>
      <protection/>
    </xf>
    <xf numFmtId="0" fontId="27" fillId="0" borderId="29" xfId="0" applyNumberFormat="1" applyFont="1" applyFill="1" applyBorder="1" applyAlignment="1" applyProtection="1">
      <alignment horizontal="center"/>
      <protection/>
    </xf>
    <xf numFmtId="168" fontId="25" fillId="0" borderId="18" xfId="0" applyNumberFormat="1" applyFont="1" applyFill="1" applyBorder="1" applyAlignment="1" applyProtection="1">
      <alignment horizontal="center"/>
      <protection/>
    </xf>
    <xf numFmtId="168" fontId="25" fillId="0" borderId="17" xfId="0" applyNumberFormat="1" applyFont="1" applyFill="1" applyBorder="1" applyAlignment="1" applyProtection="1">
      <alignment horizontal="center"/>
      <protection/>
    </xf>
    <xf numFmtId="168" fontId="25" fillId="0" borderId="12" xfId="0" applyNumberFormat="1" applyFont="1" applyFill="1" applyBorder="1" applyAlignment="1" applyProtection="1">
      <alignment horizontal="center"/>
      <protection/>
    </xf>
    <xf numFmtId="168" fontId="25" fillId="0" borderId="14" xfId="0" applyNumberFormat="1" applyFont="1" applyFill="1" applyBorder="1" applyAlignment="1" applyProtection="1">
      <alignment horizontal="center"/>
      <protection/>
    </xf>
    <xf numFmtId="1" fontId="17" fillId="0" borderId="5" xfId="0" applyNumberFormat="1" applyFont="1" applyFill="1" applyBorder="1" applyAlignment="1" applyProtection="1">
      <alignment horizontal="center"/>
      <protection/>
    </xf>
    <xf numFmtId="1" fontId="17" fillId="0" borderId="29" xfId="0" applyNumberFormat="1" applyFont="1" applyFill="1" applyBorder="1" applyAlignment="1" applyProtection="1">
      <alignment horizontal="center"/>
      <protection/>
    </xf>
    <xf numFmtId="49" fontId="19" fillId="0" borderId="35" xfId="0" applyNumberFormat="1" applyFont="1" applyFill="1" applyBorder="1" applyAlignment="1" applyProtection="1">
      <alignment horizontal="center"/>
      <protection/>
    </xf>
    <xf numFmtId="49" fontId="19" fillId="0" borderId="36" xfId="0" applyNumberFormat="1" applyFont="1" applyFill="1" applyBorder="1" applyAlignment="1" applyProtection="1">
      <alignment horizontal="center"/>
      <protection/>
    </xf>
    <xf numFmtId="49" fontId="19" fillId="0" borderId="37" xfId="0" applyNumberFormat="1" applyFont="1" applyFill="1" applyBorder="1" applyAlignment="1" applyProtection="1">
      <alignment horizontal="center"/>
      <protection/>
    </xf>
    <xf numFmtId="168" fontId="23" fillId="0" borderId="18" xfId="0" applyNumberFormat="1" applyFont="1" applyFill="1" applyBorder="1" applyAlignment="1" applyProtection="1">
      <alignment horizontal="center"/>
      <protection/>
    </xf>
    <xf numFmtId="168" fontId="23" fillId="0" borderId="17" xfId="0" applyNumberFormat="1" applyFont="1" applyFill="1" applyBorder="1" applyAlignment="1" applyProtection="1">
      <alignment horizontal="center"/>
      <protection/>
    </xf>
    <xf numFmtId="168" fontId="23" fillId="0" borderId="23" xfId="0" applyNumberFormat="1" applyFont="1" applyFill="1" applyBorder="1" applyAlignment="1" applyProtection="1">
      <alignment horizontal="center"/>
      <protection/>
    </xf>
    <xf numFmtId="168" fontId="24" fillId="0" borderId="24"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protection/>
    </xf>
    <xf numFmtId="168" fontId="23" fillId="0" borderId="20" xfId="0" applyNumberFormat="1" applyFont="1" applyFill="1" applyBorder="1" applyAlignment="1" applyProtection="1">
      <alignment horizontal="center"/>
      <protection/>
    </xf>
    <xf numFmtId="0" fontId="35" fillId="0" borderId="38" xfId="0" applyNumberFormat="1" applyFont="1" applyFill="1" applyBorder="1" applyAlignment="1" applyProtection="1">
      <alignment horizontal="center"/>
      <protection/>
    </xf>
    <xf numFmtId="0" fontId="36" fillId="0" borderId="20" xfId="0" applyFont="1" applyFill="1" applyBorder="1" applyAlignment="1" applyProtection="1">
      <alignment horizontal="center"/>
      <protection/>
    </xf>
    <xf numFmtId="0" fontId="25" fillId="0" borderId="5" xfId="0" applyNumberFormat="1" applyFont="1" applyFill="1" applyBorder="1" applyAlignment="1" applyProtection="1">
      <alignment horizontal="center"/>
      <protection/>
    </xf>
    <xf numFmtId="0" fontId="32" fillId="0" borderId="29" xfId="0"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6" fillId="0" borderId="3" xfId="0" applyNumberFormat="1" applyFont="1" applyFill="1" applyBorder="1" applyAlignment="1" applyProtection="1">
      <alignment horizontal="center"/>
      <protection/>
    </xf>
    <xf numFmtId="0" fontId="9" fillId="0" borderId="1" xfId="0" applyFont="1" applyFill="1" applyBorder="1" applyAlignment="1" applyProtection="1">
      <alignment horizontal="center"/>
      <protection/>
    </xf>
    <xf numFmtId="0" fontId="17" fillId="0" borderId="39" xfId="0" applyNumberFormat="1" applyFont="1" applyFill="1" applyBorder="1" applyAlignment="1" applyProtection="1">
      <alignment horizontal="center"/>
      <protection/>
    </xf>
    <xf numFmtId="0" fontId="18" fillId="0" borderId="40" xfId="0" applyFont="1" applyFill="1" applyBorder="1" applyAlignment="1" applyProtection="1">
      <alignment horizontal="center"/>
      <protection/>
    </xf>
    <xf numFmtId="0" fontId="17" fillId="0" borderId="41" xfId="0" applyNumberFormat="1" applyFont="1" applyFill="1" applyBorder="1" applyAlignment="1" applyProtection="1">
      <alignment horizontal="center"/>
      <protection/>
    </xf>
    <xf numFmtId="0" fontId="18" fillId="0" borderId="42" xfId="0" applyFont="1" applyFill="1" applyBorder="1" applyAlignment="1" applyProtection="1">
      <alignment horizontal="center"/>
      <protection/>
    </xf>
    <xf numFmtId="168" fontId="23" fillId="0" borderId="16" xfId="0" applyNumberFormat="1" applyFont="1" applyFill="1" applyBorder="1" applyAlignment="1" applyProtection="1">
      <alignment horizontal="center"/>
      <protection/>
    </xf>
    <xf numFmtId="168" fontId="24" fillId="0" borderId="17" xfId="0" applyNumberFormat="1" applyFont="1" applyFill="1" applyBorder="1" applyAlignment="1" applyProtection="1">
      <alignment horizontal="center"/>
      <protection/>
    </xf>
    <xf numFmtId="0" fontId="35" fillId="0" borderId="43" xfId="0" applyNumberFormat="1" applyFont="1" applyFill="1" applyBorder="1" applyAlignment="1" applyProtection="1">
      <alignment horizontal="center"/>
      <protection/>
    </xf>
    <xf numFmtId="0" fontId="36" fillId="0" borderId="18" xfId="0" applyFont="1" applyFill="1" applyBorder="1" applyAlignment="1" applyProtection="1">
      <alignment horizontal="center"/>
      <protection/>
    </xf>
    <xf numFmtId="0" fontId="7" fillId="0" borderId="2" xfId="0" applyNumberFormat="1"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7" fillId="0" borderId="1" xfId="0" applyNumberFormat="1" applyFont="1" applyFill="1" applyBorder="1" applyAlignment="1" applyProtection="1">
      <alignment horizontal="center"/>
      <protection/>
    </xf>
    <xf numFmtId="168" fontId="23" fillId="0" borderId="1" xfId="0" applyNumberFormat="1" applyFont="1" applyFill="1" applyBorder="1" applyAlignment="1" applyProtection="1">
      <alignment horizontal="center"/>
      <protection/>
    </xf>
    <xf numFmtId="168" fontId="24" fillId="0" borderId="7" xfId="0" applyNumberFormat="1" applyFont="1" applyFill="1" applyBorder="1" applyAlignment="1" applyProtection="1">
      <alignment horizontal="center"/>
      <protection/>
    </xf>
    <xf numFmtId="168" fontId="23" fillId="0" borderId="12" xfId="0" applyNumberFormat="1" applyFont="1" applyFill="1" applyBorder="1" applyAlignment="1" applyProtection="1">
      <alignment horizontal="center"/>
      <protection/>
    </xf>
    <xf numFmtId="168" fontId="24" fillId="0" borderId="14" xfId="0" applyNumberFormat="1" applyFont="1" applyFill="1" applyBorder="1" applyAlignment="1" applyProtection="1">
      <alignment horizontal="center"/>
      <protection/>
    </xf>
    <xf numFmtId="168" fontId="19" fillId="0" borderId="0" xfId="0" applyNumberFormat="1" applyFont="1" applyFill="1" applyBorder="1" applyAlignment="1" applyProtection="1">
      <alignment horizontal="center"/>
      <protection/>
    </xf>
    <xf numFmtId="168" fontId="19" fillId="0" borderId="8" xfId="0" applyNumberFormat="1" applyFont="1" applyFill="1" applyBorder="1" applyAlignment="1" applyProtection="1">
      <alignment horizontal="center"/>
      <protection/>
    </xf>
    <xf numFmtId="168" fontId="19" fillId="0" borderId="16" xfId="0" applyNumberFormat="1" applyFont="1" applyFill="1" applyBorder="1" applyAlignment="1" applyProtection="1">
      <alignment horizontal="center"/>
      <protection/>
    </xf>
    <xf numFmtId="168" fontId="23" fillId="0" borderId="44" xfId="0" applyNumberFormat="1" applyFont="1" applyFill="1" applyBorder="1" applyAlignment="1" applyProtection="1">
      <alignment horizontal="center"/>
      <protection/>
    </xf>
    <xf numFmtId="168" fontId="24" fillId="0" borderId="45" xfId="0" applyNumberFormat="1" applyFont="1" applyFill="1" applyBorder="1" applyAlignment="1" applyProtection="1">
      <alignment horizontal="center"/>
      <protection/>
    </xf>
    <xf numFmtId="168" fontId="19" fillId="0" borderId="17" xfId="0" applyNumberFormat="1" applyFont="1" applyFill="1" applyBorder="1" applyAlignment="1" applyProtection="1">
      <alignment horizontal="center"/>
      <protection/>
    </xf>
    <xf numFmtId="0" fontId="14" fillId="0" borderId="46" xfId="0" applyNumberFormat="1" applyFont="1" applyFill="1" applyBorder="1" applyAlignment="1" applyProtection="1">
      <alignment horizontal="center"/>
      <protection/>
    </xf>
    <xf numFmtId="0" fontId="14" fillId="0" borderId="47" xfId="0" applyNumberFormat="1" applyFont="1" applyFill="1" applyBorder="1" applyAlignment="1" applyProtection="1">
      <alignment horizontal="center"/>
      <protection/>
    </xf>
    <xf numFmtId="0" fontId="28" fillId="0" borderId="0" xfId="0" applyFont="1" applyFill="1" applyBorder="1" applyAlignment="1" applyProtection="1">
      <alignment/>
      <protection/>
    </xf>
    <xf numFmtId="0" fontId="14" fillId="0" borderId="48" xfId="0" applyNumberFormat="1" applyFont="1" applyFill="1" applyBorder="1" applyAlignment="1" applyProtection="1">
      <alignment horizontal="center"/>
      <protection/>
    </xf>
    <xf numFmtId="0" fontId="14" fillId="0" borderId="49" xfId="0" applyNumberFormat="1" applyFont="1" applyFill="1" applyBorder="1" applyAlignment="1" applyProtection="1">
      <alignment horizontal="center"/>
      <protection/>
    </xf>
    <xf numFmtId="0" fontId="7" fillId="0" borderId="6"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168" fontId="17" fillId="0" borderId="3" xfId="0" applyNumberFormat="1" applyFont="1" applyFill="1" applyBorder="1" applyAlignment="1" applyProtection="1">
      <alignment horizontal="center"/>
      <protection/>
    </xf>
    <xf numFmtId="168" fontId="17" fillId="0" borderId="7" xfId="0" applyNumberFormat="1" applyFont="1" applyFill="1" applyBorder="1" applyAlignment="1" applyProtection="1">
      <alignment horizontal="center"/>
      <protection/>
    </xf>
    <xf numFmtId="168" fontId="25" fillId="0" borderId="41" xfId="0" applyNumberFormat="1" applyFont="1" applyFill="1" applyBorder="1" applyAlignment="1" applyProtection="1">
      <alignment horizontal="center"/>
      <protection/>
    </xf>
    <xf numFmtId="0" fontId="25" fillId="0" borderId="42" xfId="0" applyNumberFormat="1" applyFont="1" applyFill="1" applyBorder="1" applyAlignment="1" applyProtection="1">
      <alignment horizontal="center"/>
      <protection/>
    </xf>
    <xf numFmtId="168" fontId="23" fillId="0" borderId="3" xfId="0" applyNumberFormat="1" applyFont="1" applyFill="1" applyBorder="1" applyAlignment="1" applyProtection="1">
      <alignment horizontal="center"/>
      <protection/>
    </xf>
    <xf numFmtId="0" fontId="7" fillId="0" borderId="3"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7" fillId="0" borderId="29" xfId="0" applyNumberFormat="1" applyFont="1" applyFill="1" applyBorder="1" applyAlignment="1" applyProtection="1">
      <alignment horizontal="center"/>
      <protection/>
    </xf>
    <xf numFmtId="168" fontId="25" fillId="0" borderId="15" xfId="0" applyNumberFormat="1" applyFont="1" applyFill="1" applyBorder="1" applyAlignment="1" applyProtection="1">
      <alignment horizontal="center"/>
      <protection/>
    </xf>
    <xf numFmtId="0" fontId="25" fillId="0" borderId="50" xfId="0" applyNumberFormat="1" applyFont="1" applyFill="1" applyBorder="1" applyAlignment="1" applyProtection="1">
      <alignment horizontal="center"/>
      <protection/>
    </xf>
    <xf numFmtId="168" fontId="25" fillId="0" borderId="51" xfId="0" applyNumberFormat="1" applyFont="1" applyFill="1" applyBorder="1" applyAlignment="1" applyProtection="1">
      <alignment horizontal="center"/>
      <protection/>
    </xf>
    <xf numFmtId="0" fontId="25" fillId="0" borderId="52" xfId="0" applyNumberFormat="1" applyFont="1" applyFill="1" applyBorder="1" applyAlignment="1" applyProtection="1">
      <alignment horizontal="center"/>
      <protection/>
    </xf>
    <xf numFmtId="0" fontId="28" fillId="0" borderId="0" xfId="0" applyFont="1" applyFill="1" applyBorder="1" applyAlignment="1" applyProtection="1">
      <alignment horizontal="center"/>
      <protection/>
    </xf>
    <xf numFmtId="0" fontId="17" fillId="0" borderId="5" xfId="0" applyNumberFormat="1" applyFont="1" applyFill="1" applyBorder="1" applyAlignment="1" applyProtection="1">
      <alignment horizontal="center"/>
      <protection/>
    </xf>
    <xf numFmtId="0" fontId="18" fillId="0" borderId="29" xfId="0" applyFont="1" applyFill="1" applyBorder="1" applyAlignment="1" applyProtection="1">
      <alignment/>
      <protection/>
    </xf>
    <xf numFmtId="0" fontId="7" fillId="0" borderId="16" xfId="0" applyNumberFormat="1" applyFont="1" applyFill="1" applyBorder="1" applyAlignment="1" applyProtection="1">
      <alignment/>
      <protection/>
    </xf>
    <xf numFmtId="49" fontId="13" fillId="0" borderId="11" xfId="0" applyNumberFormat="1" applyFont="1" applyFill="1" applyBorder="1" applyAlignment="1" applyProtection="1">
      <alignment horizontal="center"/>
      <protection/>
    </xf>
    <xf numFmtId="0" fontId="19" fillId="0" borderId="22"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protection/>
    </xf>
    <xf numFmtId="49" fontId="19" fillId="0" borderId="22" xfId="0" applyNumberFormat="1" applyFont="1" applyFill="1" applyBorder="1" applyAlignment="1" applyProtection="1">
      <alignment horizontal="center"/>
      <protection/>
    </xf>
    <xf numFmtId="49" fontId="19" fillId="0" borderId="21" xfId="0" applyNumberFormat="1" applyFont="1" applyFill="1" applyBorder="1" applyAlignment="1" applyProtection="1">
      <alignment horizontal="center"/>
      <protection/>
    </xf>
    <xf numFmtId="168" fontId="13" fillId="0" borderId="0"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protection/>
    </xf>
    <xf numFmtId="0" fontId="19" fillId="0" borderId="29" xfId="0" applyNumberFormat="1" applyFont="1" applyFill="1" applyBorder="1" applyAlignment="1" applyProtection="1">
      <alignment horizontal="center"/>
      <protection/>
    </xf>
    <xf numFmtId="168" fontId="19" fillId="0" borderId="5"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protection/>
    </xf>
    <xf numFmtId="1" fontId="19" fillId="0" borderId="14" xfId="0" applyNumberFormat="1" applyFont="1" applyFill="1" applyBorder="1" applyAlignment="1" applyProtection="1">
      <alignment horizontal="center"/>
      <protection/>
    </xf>
    <xf numFmtId="169" fontId="19" fillId="0" borderId="18" xfId="0" applyNumberFormat="1" applyFont="1" applyFill="1" applyBorder="1" applyAlignment="1" applyProtection="1">
      <alignment horizontal="center"/>
      <protection/>
    </xf>
    <xf numFmtId="169" fontId="19" fillId="0" borderId="17" xfId="0" applyNumberFormat="1" applyFont="1" applyFill="1" applyBorder="1" applyAlignment="1" applyProtection="1">
      <alignment horizontal="center"/>
      <protection/>
    </xf>
    <xf numFmtId="49" fontId="7" fillId="0" borderId="6"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168" fontId="19" fillId="0" borderId="12" xfId="0" applyNumberFormat="1" applyFont="1" applyFill="1" applyBorder="1" applyAlignment="1" applyProtection="1">
      <alignment horizontal="center"/>
      <protection/>
    </xf>
    <xf numFmtId="168" fontId="19" fillId="0" borderId="14" xfId="0" applyNumberFormat="1" applyFont="1" applyFill="1" applyBorder="1" applyAlignment="1" applyProtection="1">
      <alignment horizontal="center"/>
      <protection/>
    </xf>
    <xf numFmtId="168" fontId="19" fillId="0" borderId="18" xfId="0" applyNumberFormat="1" applyFont="1" applyFill="1" applyBorder="1" applyAlignment="1" applyProtection="1">
      <alignment horizontal="center"/>
      <protection/>
    </xf>
    <xf numFmtId="169" fontId="19" fillId="0" borderId="12" xfId="0" applyNumberFormat="1" applyFont="1" applyFill="1" applyBorder="1" applyAlignment="1" applyProtection="1">
      <alignment horizontal="center"/>
      <protection/>
    </xf>
    <xf numFmtId="169" fontId="19" fillId="0" borderId="14" xfId="0" applyNumberFormat="1" applyFont="1" applyFill="1" applyBorder="1" applyAlignment="1" applyProtection="1">
      <alignment horizontal="center"/>
      <protection/>
    </xf>
    <xf numFmtId="168" fontId="23" fillId="0" borderId="14" xfId="0" applyNumberFormat="1" applyFont="1" applyFill="1" applyBorder="1" applyAlignment="1" applyProtection="1">
      <alignment horizontal="center"/>
      <protection/>
    </xf>
    <xf numFmtId="49" fontId="42" fillId="0" borderId="0" xfId="0" applyNumberFormat="1" applyFont="1" applyFill="1" applyBorder="1" applyAlignment="1" applyProtection="1">
      <alignment/>
      <protection/>
    </xf>
    <xf numFmtId="49" fontId="42" fillId="0" borderId="8" xfId="0" applyNumberFormat="1" applyFont="1" applyFill="1" applyBorder="1" applyAlignment="1" applyProtection="1">
      <alignment/>
      <protection/>
    </xf>
    <xf numFmtId="49" fontId="27" fillId="0" borderId="5" xfId="0" applyNumberFormat="1" applyFont="1" applyFill="1" applyBorder="1" applyAlignment="1" applyProtection="1">
      <alignment horizontal="center"/>
      <protection/>
    </xf>
    <xf numFmtId="49" fontId="27" fillId="0" borderId="2" xfId="0" applyNumberFormat="1" applyFont="1" applyFill="1" applyBorder="1" applyAlignment="1" applyProtection="1">
      <alignment horizontal="center"/>
      <protection/>
    </xf>
    <xf numFmtId="49" fontId="27" fillId="0" borderId="29" xfId="0" applyNumberFormat="1" applyFont="1" applyFill="1" applyBorder="1" applyAlignment="1" applyProtection="1">
      <alignment horizontal="center"/>
      <protection/>
    </xf>
    <xf numFmtId="0" fontId="6" fillId="0" borderId="29" xfId="0" applyNumberFormat="1" applyFont="1" applyFill="1" applyBorder="1" applyAlignment="1" applyProtection="1">
      <alignment horizontal="center"/>
      <protection/>
    </xf>
    <xf numFmtId="49" fontId="19" fillId="0" borderId="53"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protection/>
    </xf>
    <xf numFmtId="0" fontId="8" fillId="0" borderId="29" xfId="0" applyFont="1" applyBorder="1" applyAlignment="1" applyProtection="1">
      <alignment/>
      <protection/>
    </xf>
    <xf numFmtId="0" fontId="8" fillId="0" borderId="29" xfId="0" applyFont="1" applyBorder="1" applyAlignment="1" applyProtection="1">
      <alignment horizontal="center"/>
      <protection/>
    </xf>
    <xf numFmtId="9" fontId="14" fillId="0" borderId="5" xfId="0" applyNumberFormat="1" applyFont="1" applyFill="1" applyBorder="1" applyAlignment="1" applyProtection="1">
      <alignment horizontal="center"/>
      <protection/>
    </xf>
    <xf numFmtId="9" fontId="14" fillId="0" borderId="29" xfId="0" applyNumberFormat="1" applyFont="1" applyFill="1" applyBorder="1" applyAlignment="1" applyProtection="1">
      <alignment horizontal="center"/>
      <protection/>
    </xf>
    <xf numFmtId="168" fontId="14" fillId="0" borderId="2"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7" fillId="0" borderId="54" xfId="0" applyNumberFormat="1" applyFont="1" applyFill="1" applyBorder="1" applyAlignment="1" applyProtection="1">
      <alignment horizontal="center"/>
      <protection/>
    </xf>
    <xf numFmtId="0" fontId="9" fillId="0" borderId="55" xfId="0" applyFont="1" applyFill="1" applyBorder="1" applyAlignment="1" applyProtection="1">
      <alignment/>
      <protection/>
    </xf>
    <xf numFmtId="0" fontId="35" fillId="0" borderId="9" xfId="0" applyNumberFormat="1" applyFont="1" applyFill="1" applyBorder="1" applyAlignment="1" applyProtection="1">
      <alignment horizontal="center"/>
      <protection/>
    </xf>
    <xf numFmtId="0" fontId="36" fillId="0" borderId="3" xfId="0" applyFont="1" applyFill="1" applyBorder="1" applyAlignment="1" applyProtection="1">
      <alignment horizontal="center"/>
      <protection/>
    </xf>
    <xf numFmtId="0" fontId="9" fillId="0" borderId="29" xfId="0" applyFont="1" applyFill="1" applyBorder="1" applyAlignment="1" applyProtection="1">
      <alignment/>
      <protection/>
    </xf>
    <xf numFmtId="0" fontId="9" fillId="0" borderId="29" xfId="0" applyFont="1" applyFill="1" applyBorder="1" applyAlignment="1" applyProtection="1">
      <alignment horizontal="center"/>
      <protection/>
    </xf>
    <xf numFmtId="168" fontId="19" fillId="0" borderId="22" xfId="0" applyNumberFormat="1" applyFont="1" applyFill="1" applyBorder="1" applyAlignment="1" applyProtection="1">
      <alignment horizontal="center"/>
      <protection/>
    </xf>
    <xf numFmtId="168" fontId="19" fillId="0" borderId="21"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9" fillId="0" borderId="7" xfId="0"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9" fillId="0" borderId="8" xfId="0" applyFont="1" applyFill="1" applyBorder="1" applyAlignment="1" applyProtection="1">
      <alignment horizontal="center"/>
      <protection/>
    </xf>
    <xf numFmtId="169" fontId="19" fillId="0" borderId="22" xfId="0" applyNumberFormat="1" applyFont="1" applyFill="1" applyBorder="1" applyAlignment="1" applyProtection="1">
      <alignment horizontal="center"/>
      <protection/>
    </xf>
    <xf numFmtId="169" fontId="19" fillId="0" borderId="21" xfId="0" applyNumberFormat="1" applyFont="1" applyFill="1" applyBorder="1" applyAlignment="1" applyProtection="1">
      <alignment horizontal="center"/>
      <protection/>
    </xf>
    <xf numFmtId="0" fontId="9" fillId="0" borderId="2" xfId="0" applyFont="1" applyFill="1" applyBorder="1" applyAlignment="1" applyProtection="1">
      <alignment/>
      <protection/>
    </xf>
    <xf numFmtId="3" fontId="18" fillId="0" borderId="6" xfId="0" applyNumberFormat="1" applyFont="1" applyFill="1" applyBorder="1" applyAlignment="1" applyProtection="1">
      <alignment horizontal="center" vertical="center"/>
      <protection/>
    </xf>
    <xf numFmtId="3" fontId="18" fillId="0" borderId="0" xfId="0" applyNumberFormat="1" applyFont="1" applyFill="1" applyBorder="1" applyAlignment="1" applyProtection="1">
      <alignment horizontal="center" vertical="center"/>
      <protection/>
    </xf>
    <xf numFmtId="3" fontId="18" fillId="0" borderId="8" xfId="0" applyNumberFormat="1" applyFont="1" applyFill="1" applyBorder="1" applyAlignment="1" applyProtection="1">
      <alignment horizontal="center" vertical="center"/>
      <protection/>
    </xf>
    <xf numFmtId="3" fontId="18" fillId="0" borderId="22" xfId="0" applyNumberFormat="1" applyFont="1" applyFill="1" applyBorder="1" applyAlignment="1" applyProtection="1">
      <alignment horizontal="center" vertical="center"/>
      <protection/>
    </xf>
    <xf numFmtId="3" fontId="18" fillId="0" borderId="11" xfId="0" applyNumberFormat="1" applyFont="1" applyFill="1" applyBorder="1" applyAlignment="1" applyProtection="1">
      <alignment horizontal="center" vertical="center"/>
      <protection/>
    </xf>
    <xf numFmtId="3" fontId="18" fillId="0" borderId="21" xfId="0" applyNumberFormat="1" applyFont="1" applyFill="1" applyBorder="1" applyAlignment="1" applyProtection="1">
      <alignment horizontal="center" vertical="center"/>
      <protection/>
    </xf>
    <xf numFmtId="49" fontId="19" fillId="0" borderId="22" xfId="0" applyNumberFormat="1" applyFont="1" applyFill="1" applyBorder="1" applyAlignment="1" applyProtection="1">
      <alignment horizontal="left"/>
      <protection/>
    </xf>
    <xf numFmtId="49" fontId="19" fillId="0" borderId="11" xfId="0" applyNumberFormat="1" applyFont="1" applyFill="1" applyBorder="1" applyAlignment="1" applyProtection="1">
      <alignment horizontal="left"/>
      <protection/>
    </xf>
    <xf numFmtId="49" fontId="19" fillId="0" borderId="21" xfId="0" applyNumberFormat="1" applyFont="1" applyFill="1" applyBorder="1" applyAlignment="1" applyProtection="1">
      <alignment horizontal="left"/>
      <protection/>
    </xf>
    <xf numFmtId="9" fontId="18" fillId="0" borderId="0" xfId="0" applyNumberFormat="1" applyFont="1" applyFill="1" applyBorder="1" applyAlignment="1" applyProtection="1">
      <alignment horizontal="center" vertical="center"/>
      <protection/>
    </xf>
    <xf numFmtId="9" fontId="18" fillId="0" borderId="8" xfId="0" applyNumberFormat="1" applyFont="1" applyFill="1" applyBorder="1" applyAlignment="1" applyProtection="1">
      <alignment horizontal="center" vertical="center"/>
      <protection/>
    </xf>
    <xf numFmtId="9" fontId="18" fillId="0" borderId="11" xfId="0" applyNumberFormat="1" applyFont="1" applyFill="1" applyBorder="1" applyAlignment="1" applyProtection="1">
      <alignment horizontal="center" vertical="center"/>
      <protection/>
    </xf>
    <xf numFmtId="9" fontId="18" fillId="0" borderId="21" xfId="0" applyNumberFormat="1" applyFont="1" applyFill="1" applyBorder="1" applyAlignment="1" applyProtection="1">
      <alignment horizontal="center" vertical="center"/>
      <protection/>
    </xf>
    <xf numFmtId="49" fontId="19" fillId="0" borderId="5" xfId="0" applyNumberFormat="1" applyFont="1" applyFill="1" applyBorder="1" applyAlignment="1" applyProtection="1">
      <alignment horizontal="center"/>
      <protection/>
    </xf>
    <xf numFmtId="49" fontId="19" fillId="0" borderId="29" xfId="0" applyNumberFormat="1" applyFont="1" applyFill="1" applyBorder="1" applyAlignment="1" applyProtection="1">
      <alignment horizontal="center"/>
      <protection/>
    </xf>
    <xf numFmtId="0" fontId="7" fillId="0" borderId="18" xfId="0" applyNumberFormat="1" applyFont="1" applyFill="1" applyBorder="1" applyAlignment="1" applyProtection="1">
      <alignment horizontal="left"/>
      <protection/>
    </xf>
    <xf numFmtId="0" fontId="9" fillId="0" borderId="16" xfId="0" applyFont="1" applyFill="1" applyBorder="1" applyAlignment="1" applyProtection="1">
      <alignment/>
      <protection/>
    </xf>
    <xf numFmtId="0" fontId="7" fillId="0" borderId="6" xfId="0" applyNumberFormat="1" applyFont="1" applyFill="1" applyBorder="1" applyAlignment="1" applyProtection="1">
      <alignment horizontal="left"/>
      <protection/>
    </xf>
    <xf numFmtId="0" fontId="9" fillId="0" borderId="0" xfId="0" applyFont="1" applyFill="1" applyBorder="1" applyAlignment="1" applyProtection="1">
      <alignment/>
      <protection/>
    </xf>
    <xf numFmtId="9" fontId="19" fillId="0" borderId="12" xfId="0" applyNumberFormat="1" applyFont="1" applyFill="1" applyBorder="1" applyAlignment="1" applyProtection="1">
      <alignment horizontal="center"/>
      <protection/>
    </xf>
    <xf numFmtId="9" fontId="19"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protection/>
    </xf>
    <xf numFmtId="0" fontId="18" fillId="0" borderId="7" xfId="0" applyFont="1" applyFill="1" applyBorder="1" applyAlignment="1" applyProtection="1">
      <alignment/>
      <protection/>
    </xf>
    <xf numFmtId="1" fontId="7" fillId="0" borderId="3" xfId="0" applyNumberFormat="1" applyFont="1" applyFill="1" applyBorder="1" applyAlignment="1" applyProtection="1">
      <alignment horizontal="center"/>
      <protection/>
    </xf>
    <xf numFmtId="1" fontId="9" fillId="0" borderId="1" xfId="0" applyNumberFormat="1" applyFont="1" applyFill="1" applyBorder="1" applyAlignment="1" applyProtection="1">
      <alignment/>
      <protection/>
    </xf>
    <xf numFmtId="49" fontId="7" fillId="0" borderId="22" xfId="0" applyNumberFormat="1" applyFont="1" applyFill="1" applyBorder="1" applyAlignment="1" applyProtection="1">
      <alignment horizontal="center"/>
      <protection/>
    </xf>
    <xf numFmtId="49" fontId="7" fillId="0" borderId="21" xfId="0" applyNumberFormat="1" applyFont="1" applyFill="1" applyBorder="1" applyAlignment="1" applyProtection="1">
      <alignment horizontal="center"/>
      <protection/>
    </xf>
    <xf numFmtId="49" fontId="19" fillId="0" borderId="1" xfId="0" applyNumberFormat="1" applyFont="1" applyFill="1" applyBorder="1" applyAlignment="1" applyProtection="1">
      <alignment horizontal="left"/>
      <protection/>
    </xf>
    <xf numFmtId="49" fontId="19" fillId="0" borderId="7" xfId="0" applyNumberFormat="1" applyFont="1" applyFill="1" applyBorder="1" applyAlignment="1" applyProtection="1">
      <alignment horizontal="left"/>
      <protection/>
    </xf>
    <xf numFmtId="1" fontId="7" fillId="0" borderId="22" xfId="0" applyNumberFormat="1" applyFont="1" applyFill="1" applyBorder="1" applyAlignment="1" applyProtection="1">
      <alignment horizontal="center"/>
      <protection/>
    </xf>
    <xf numFmtId="1" fontId="9" fillId="0" borderId="11" xfId="0" applyNumberFormat="1" applyFont="1" applyFill="1" applyBorder="1" applyAlignment="1" applyProtection="1">
      <alignment/>
      <protection/>
    </xf>
    <xf numFmtId="49" fontId="7" fillId="0" borderId="3" xfId="0" applyNumberFormat="1" applyFont="1" applyFill="1" applyBorder="1" applyAlignment="1" applyProtection="1">
      <alignment horizontal="center"/>
      <protection/>
    </xf>
    <xf numFmtId="0" fontId="9" fillId="0" borderId="7" xfId="0" applyFont="1" applyFill="1" applyBorder="1" applyAlignment="1" applyProtection="1">
      <alignment/>
      <protection/>
    </xf>
    <xf numFmtId="168" fontId="7" fillId="0" borderId="22" xfId="0" applyNumberFormat="1" applyFont="1" applyFill="1" applyBorder="1" applyAlignment="1" applyProtection="1">
      <alignment horizontal="center"/>
      <protection/>
    </xf>
    <xf numFmtId="168" fontId="7" fillId="0" borderId="21" xfId="0" applyNumberFormat="1" applyFont="1" applyFill="1" applyBorder="1" applyAlignment="1" applyProtection="1">
      <alignment horizontal="center"/>
      <protection/>
    </xf>
    <xf numFmtId="49" fontId="19" fillId="0" borderId="6" xfId="0" applyNumberFormat="1" applyFont="1" applyFill="1" applyBorder="1" applyAlignment="1" applyProtection="1">
      <alignment horizontal="left"/>
      <protection/>
    </xf>
    <xf numFmtId="49" fontId="19" fillId="0" borderId="0" xfId="0" applyNumberFormat="1" applyFont="1" applyFill="1" applyBorder="1" applyAlignment="1" applyProtection="1">
      <alignment horizontal="left"/>
      <protection/>
    </xf>
    <xf numFmtId="49" fontId="19" fillId="0" borderId="8" xfId="0" applyNumberFormat="1" applyFont="1" applyFill="1" applyBorder="1" applyAlignment="1" applyProtection="1">
      <alignment horizontal="left"/>
      <protection/>
    </xf>
    <xf numFmtId="169" fontId="6" fillId="0" borderId="0" xfId="0" applyNumberFormat="1" applyFont="1" applyFill="1" applyBorder="1" applyAlignment="1" applyProtection="1">
      <alignment horizontal="center"/>
      <protection/>
    </xf>
    <xf numFmtId="0" fontId="27" fillId="0" borderId="5" xfId="0" applyFont="1" applyBorder="1" applyAlignment="1" applyProtection="1">
      <alignment horizontal="center"/>
      <protection/>
    </xf>
    <xf numFmtId="0" fontId="34" fillId="0" borderId="2" xfId="0" applyFont="1" applyBorder="1" applyAlignment="1" applyProtection="1">
      <alignment/>
      <protection/>
    </xf>
    <xf numFmtId="0" fontId="34" fillId="0" borderId="29" xfId="0" applyFont="1" applyBorder="1" applyAlignment="1" applyProtection="1">
      <alignment/>
      <protection/>
    </xf>
    <xf numFmtId="0" fontId="28" fillId="0" borderId="2" xfId="0" applyFont="1" applyBorder="1" applyAlignment="1" applyProtection="1">
      <alignment/>
      <protection/>
    </xf>
    <xf numFmtId="49" fontId="7" fillId="0" borderId="18"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center"/>
      <protection/>
    </xf>
    <xf numFmtId="49" fontId="27" fillId="0" borderId="0" xfId="0" applyNumberFormat="1" applyFont="1" applyFill="1" applyBorder="1" applyAlignment="1" applyProtection="1">
      <alignment horizontal="center"/>
      <protection/>
    </xf>
    <xf numFmtId="0" fontId="28" fillId="0" borderId="0" xfId="0" applyFont="1" applyFill="1" applyAlignment="1" applyProtection="1">
      <alignment/>
      <protection/>
    </xf>
    <xf numFmtId="168" fontId="7" fillId="0" borderId="18" xfId="0" applyNumberFormat="1" applyFont="1" applyFill="1" applyBorder="1" applyAlignment="1" applyProtection="1">
      <alignment horizontal="center"/>
      <protection/>
    </xf>
    <xf numFmtId="168" fontId="7" fillId="0" borderId="17" xfId="0" applyNumberFormat="1" applyFont="1" applyFill="1" applyBorder="1" applyAlignment="1" applyProtection="1">
      <alignment horizontal="center"/>
      <protection/>
    </xf>
    <xf numFmtId="1" fontId="14" fillId="0" borderId="22" xfId="0" applyNumberFormat="1" applyFont="1" applyFill="1" applyBorder="1" applyAlignment="1" applyProtection="1">
      <alignment horizontal="center"/>
      <protection/>
    </xf>
    <xf numFmtId="1" fontId="15" fillId="0" borderId="21" xfId="0" applyNumberFormat="1" applyFont="1" applyFill="1" applyBorder="1" applyAlignment="1" applyProtection="1">
      <alignment/>
      <protection/>
    </xf>
    <xf numFmtId="168" fontId="9" fillId="0" borderId="21" xfId="0" applyNumberFormat="1" applyFont="1" applyFill="1" applyBorder="1" applyAlignment="1" applyProtection="1">
      <alignment/>
      <protection/>
    </xf>
    <xf numFmtId="169" fontId="14" fillId="0" borderId="5" xfId="0" applyNumberFormat="1" applyFont="1" applyFill="1" applyBorder="1" applyAlignment="1" applyProtection="1">
      <alignment horizontal="center"/>
      <protection/>
    </xf>
    <xf numFmtId="169" fontId="14" fillId="0" borderId="29" xfId="0" applyNumberFormat="1" applyFont="1" applyFill="1" applyBorder="1" applyAlignment="1" applyProtection="1">
      <alignment horizontal="center"/>
      <protection/>
    </xf>
    <xf numFmtId="1" fontId="21" fillId="0" borderId="41" xfId="0" applyNumberFormat="1" applyFont="1" applyFill="1" applyBorder="1" applyAlignment="1" applyProtection="1">
      <alignment horizontal="center" vertical="center"/>
      <protection/>
    </xf>
    <xf numFmtId="1" fontId="21" fillId="0" borderId="56" xfId="0" applyNumberFormat="1" applyFont="1" applyFill="1" applyBorder="1" applyAlignment="1" applyProtection="1">
      <alignment horizontal="center" vertical="center"/>
      <protection/>
    </xf>
    <xf numFmtId="1" fontId="21" fillId="0" borderId="42" xfId="0" applyNumberFormat="1" applyFont="1" applyFill="1" applyBorder="1" applyAlignment="1" applyProtection="1">
      <alignment horizontal="center" vertical="center"/>
      <protection/>
    </xf>
    <xf numFmtId="1" fontId="21" fillId="0" borderId="57" xfId="0" applyNumberFormat="1" applyFont="1" applyFill="1" applyBorder="1" applyAlignment="1" applyProtection="1">
      <alignment horizontal="center" vertical="center"/>
      <protection/>
    </xf>
    <xf numFmtId="1" fontId="21" fillId="0" borderId="0" xfId="0" applyNumberFormat="1" applyFont="1" applyFill="1" applyBorder="1" applyAlignment="1" applyProtection="1">
      <alignment horizontal="center" vertical="center"/>
      <protection/>
    </xf>
    <xf numFmtId="1" fontId="21" fillId="0" borderId="33" xfId="0" applyNumberFormat="1" applyFont="1" applyFill="1" applyBorder="1" applyAlignment="1" applyProtection="1">
      <alignment horizontal="center" vertical="center"/>
      <protection/>
    </xf>
    <xf numFmtId="1" fontId="21" fillId="0" borderId="51" xfId="0" applyNumberFormat="1" applyFont="1" applyFill="1" applyBorder="1" applyAlignment="1" applyProtection="1">
      <alignment horizontal="center" vertical="center"/>
      <protection/>
    </xf>
    <xf numFmtId="1" fontId="21" fillId="0" borderId="34" xfId="0" applyNumberFormat="1" applyFont="1" applyFill="1" applyBorder="1" applyAlignment="1" applyProtection="1">
      <alignment horizontal="center" vertical="center"/>
      <protection/>
    </xf>
    <xf numFmtId="1" fontId="21" fillId="0" borderId="52"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protection/>
    </xf>
    <xf numFmtId="0" fontId="9" fillId="0" borderId="21" xfId="0" applyFont="1" applyFill="1" applyBorder="1" applyAlignment="1" applyProtection="1">
      <alignment horizontal="center"/>
      <protection/>
    </xf>
    <xf numFmtId="49" fontId="27" fillId="0" borderId="0" xfId="0" applyNumberFormat="1" applyFont="1" applyFill="1" applyBorder="1" applyAlignment="1" applyProtection="1">
      <alignment/>
      <protection/>
    </xf>
    <xf numFmtId="0" fontId="7" fillId="0" borderId="5" xfId="0" applyNumberFormat="1" applyFont="1" applyFill="1" applyBorder="1" applyAlignment="1" applyProtection="1">
      <alignment/>
      <protection/>
    </xf>
    <xf numFmtId="0" fontId="7" fillId="0" borderId="2" xfId="0" applyNumberFormat="1" applyFont="1" applyFill="1" applyBorder="1" applyAlignment="1" applyProtection="1">
      <alignment/>
      <protection/>
    </xf>
    <xf numFmtId="1" fontId="19" fillId="0" borderId="2" xfId="0" applyNumberFormat="1" applyFont="1" applyFill="1" applyBorder="1" applyAlignment="1" applyProtection="1">
      <alignment horizontal="center"/>
      <protection/>
    </xf>
    <xf numFmtId="0" fontId="27" fillId="0" borderId="0" xfId="0" applyFont="1" applyFill="1" applyBorder="1" applyAlignment="1" applyProtection="1">
      <alignment horizontal="center"/>
      <protection/>
    </xf>
    <xf numFmtId="9" fontId="19" fillId="0" borderId="22" xfId="0" applyNumberFormat="1" applyFont="1" applyFill="1" applyBorder="1" applyAlignment="1" applyProtection="1">
      <alignment horizontal="center"/>
      <protection/>
    </xf>
    <xf numFmtId="9" fontId="19" fillId="0" borderId="21" xfId="0" applyNumberFormat="1" applyFont="1" applyFill="1" applyBorder="1" applyAlignment="1" applyProtection="1">
      <alignment horizontal="center"/>
      <protection/>
    </xf>
    <xf numFmtId="1" fontId="19" fillId="0" borderId="22"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protection/>
    </xf>
    <xf numFmtId="49" fontId="19" fillId="0" borderId="58" xfId="0" applyNumberFormat="1" applyFont="1" applyFill="1" applyBorder="1" applyAlignment="1" applyProtection="1">
      <alignment horizontal="center"/>
      <protection/>
    </xf>
    <xf numFmtId="168" fontId="7" fillId="0" borderId="3" xfId="0" applyNumberFormat="1" applyFont="1" applyFill="1" applyBorder="1" applyAlignment="1" applyProtection="1">
      <alignment horizontal="center"/>
      <protection/>
    </xf>
    <xf numFmtId="168" fontId="7" fillId="0" borderId="7" xfId="0" applyNumberFormat="1" applyFont="1" applyFill="1" applyBorder="1" applyAlignment="1" applyProtection="1">
      <alignment horizontal="center"/>
      <protection/>
    </xf>
    <xf numFmtId="168" fontId="7" fillId="4" borderId="3" xfId="0" applyNumberFormat="1" applyFont="1" applyFill="1" applyBorder="1" applyAlignment="1" applyProtection="1">
      <alignment horizontal="center"/>
      <protection/>
    </xf>
    <xf numFmtId="168" fontId="7" fillId="4" borderId="7" xfId="0" applyNumberFormat="1" applyFont="1" applyFill="1" applyBorder="1" applyAlignment="1" applyProtection="1">
      <alignment horizontal="center"/>
      <protection/>
    </xf>
    <xf numFmtId="1" fontId="14" fillId="0" borderId="18" xfId="0" applyNumberFormat="1" applyFont="1" applyFill="1" applyBorder="1" applyAlignment="1" applyProtection="1">
      <alignment horizontal="center"/>
      <protection/>
    </xf>
    <xf numFmtId="1" fontId="15" fillId="0" borderId="17" xfId="0" applyNumberFormat="1" applyFont="1" applyFill="1" applyBorder="1" applyAlignment="1" applyProtection="1">
      <alignment/>
      <protection/>
    </xf>
    <xf numFmtId="0" fontId="23" fillId="4" borderId="3" xfId="0" applyNumberFormat="1" applyFont="1" applyFill="1" applyBorder="1" applyAlignment="1" applyProtection="1">
      <alignment horizontal="center"/>
      <protection/>
    </xf>
    <xf numFmtId="0" fontId="24" fillId="4" borderId="7" xfId="0" applyFont="1" applyFill="1" applyBorder="1" applyAlignment="1" applyProtection="1">
      <alignment/>
      <protection/>
    </xf>
    <xf numFmtId="49" fontId="19" fillId="0" borderId="59" xfId="0" applyNumberFormat="1" applyFont="1" applyFill="1" applyBorder="1" applyAlignment="1" applyProtection="1">
      <alignment horizontal="center"/>
      <protection/>
    </xf>
    <xf numFmtId="49" fontId="7" fillId="0" borderId="6" xfId="0" applyNumberFormat="1" applyFont="1" applyFill="1" applyBorder="1" applyAlignment="1" applyProtection="1">
      <alignment horizontal="left"/>
      <protection locked="0"/>
    </xf>
    <xf numFmtId="49" fontId="7" fillId="0" borderId="0" xfId="0" applyNumberFormat="1" applyFont="1" applyFill="1" applyBorder="1" applyAlignment="1" applyProtection="1">
      <alignment horizontal="left"/>
      <protection locked="0"/>
    </xf>
    <xf numFmtId="49" fontId="19" fillId="0" borderId="5" xfId="0" applyNumberFormat="1" applyFont="1" applyFill="1" applyBorder="1" applyAlignment="1" applyProtection="1">
      <alignment/>
      <protection/>
    </xf>
    <xf numFmtId="49" fontId="19" fillId="0" borderId="2" xfId="0" applyNumberFormat="1" applyFont="1" applyFill="1" applyBorder="1" applyAlignment="1" applyProtection="1">
      <alignment/>
      <protection/>
    </xf>
    <xf numFmtId="49" fontId="19" fillId="0" borderId="29" xfId="0" applyNumberFormat="1" applyFont="1" applyFill="1" applyBorder="1" applyAlignment="1" applyProtection="1">
      <alignment/>
      <protection/>
    </xf>
    <xf numFmtId="1" fontId="7" fillId="0" borderId="18" xfId="0" applyNumberFormat="1" applyFont="1" applyFill="1" applyBorder="1" applyAlignment="1" applyProtection="1">
      <alignment horizontal="center"/>
      <protection/>
    </xf>
    <xf numFmtId="1" fontId="9" fillId="0" borderId="16" xfId="0" applyNumberFormat="1" applyFont="1" applyFill="1" applyBorder="1" applyAlignment="1" applyProtection="1">
      <alignment/>
      <protection/>
    </xf>
    <xf numFmtId="0" fontId="7" fillId="2" borderId="5" xfId="0" applyNumberFormat="1" applyFont="1" applyFill="1" applyBorder="1" applyAlignment="1" applyProtection="1">
      <alignment horizontal="left"/>
      <protection/>
    </xf>
    <xf numFmtId="0" fontId="7" fillId="2" borderId="2" xfId="0" applyNumberFormat="1" applyFont="1" applyFill="1" applyBorder="1" applyAlignment="1" applyProtection="1">
      <alignment horizontal="left"/>
      <protection/>
    </xf>
    <xf numFmtId="0" fontId="7" fillId="2" borderId="29" xfId="0" applyNumberFormat="1" applyFont="1" applyFill="1" applyBorder="1" applyAlignment="1" applyProtection="1">
      <alignment horizontal="left"/>
      <protection/>
    </xf>
    <xf numFmtId="1" fontId="25" fillId="0" borderId="28" xfId="0" applyNumberFormat="1" applyFont="1" applyFill="1" applyBorder="1" applyAlignment="1" applyProtection="1">
      <alignment horizontal="center"/>
      <protection/>
    </xf>
    <xf numFmtId="0" fontId="25" fillId="0" borderId="27" xfId="0" applyNumberFormat="1" applyFont="1" applyFill="1" applyBorder="1" applyAlignment="1" applyProtection="1">
      <alignment horizontal="center"/>
      <protection/>
    </xf>
    <xf numFmtId="0" fontId="7" fillId="0" borderId="60" xfId="0" applyNumberFormat="1" applyFont="1" applyFill="1" applyBorder="1" applyAlignment="1" applyProtection="1">
      <alignment horizontal="center"/>
      <protection/>
    </xf>
    <xf numFmtId="0" fontId="7" fillId="0" borderId="61" xfId="0" applyNumberFormat="1" applyFont="1" applyFill="1" applyBorder="1" applyAlignment="1" applyProtection="1">
      <alignment horizontal="center"/>
      <protection/>
    </xf>
    <xf numFmtId="0" fontId="25" fillId="0" borderId="28" xfId="0" applyNumberFormat="1" applyFont="1" applyFill="1" applyBorder="1" applyAlignment="1" applyProtection="1">
      <alignment horizontal="center"/>
      <protection/>
    </xf>
    <xf numFmtId="49" fontId="8" fillId="0" borderId="5" xfId="0" applyNumberFormat="1" applyFont="1" applyFill="1" applyBorder="1" applyAlignment="1" applyProtection="1">
      <alignment horizontal="center"/>
      <protection/>
    </xf>
    <xf numFmtId="49" fontId="8" fillId="0" borderId="2" xfId="0" applyNumberFormat="1" applyFont="1" applyFill="1" applyBorder="1" applyAlignment="1" applyProtection="1">
      <alignment horizontal="center"/>
      <protection/>
    </xf>
    <xf numFmtId="49" fontId="8" fillId="0" borderId="29"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protection/>
    </xf>
    <xf numFmtId="0" fontId="10" fillId="0" borderId="29" xfId="0" applyNumberFormat="1" applyFont="1" applyFill="1" applyBorder="1" applyAlignment="1" applyProtection="1">
      <alignment horizontal="center"/>
      <protection/>
    </xf>
    <xf numFmtId="168" fontId="25" fillId="0" borderId="20" xfId="0" applyNumberFormat="1" applyFont="1" applyFill="1" applyBorder="1" applyAlignment="1" applyProtection="1">
      <alignment horizontal="center"/>
      <protection/>
    </xf>
    <xf numFmtId="168" fontId="25" fillId="0" borderId="24" xfId="0" applyNumberFormat="1" applyFont="1" applyFill="1" applyBorder="1" applyAlignment="1" applyProtection="1">
      <alignment horizontal="center"/>
      <protection/>
    </xf>
    <xf numFmtId="169" fontId="19" fillId="0" borderId="20" xfId="0" applyNumberFormat="1" applyFont="1" applyFill="1" applyBorder="1" applyAlignment="1" applyProtection="1">
      <alignment horizontal="center"/>
      <protection/>
    </xf>
    <xf numFmtId="169" fontId="19" fillId="0" borderId="24" xfId="0" applyNumberFormat="1" applyFont="1" applyFill="1" applyBorder="1" applyAlignment="1" applyProtection="1">
      <alignment horizontal="center"/>
      <protection/>
    </xf>
    <xf numFmtId="168" fontId="23" fillId="0" borderId="24" xfId="0" applyNumberFormat="1" applyFont="1" applyFill="1" applyBorder="1" applyAlignment="1" applyProtection="1">
      <alignment horizontal="center"/>
      <protection/>
    </xf>
    <xf numFmtId="168" fontId="19" fillId="0" borderId="20" xfId="0" applyNumberFormat="1" applyFont="1" applyFill="1" applyBorder="1" applyAlignment="1" applyProtection="1">
      <alignment horizontal="center"/>
      <protection/>
    </xf>
    <xf numFmtId="168" fontId="19" fillId="0" borderId="24" xfId="0" applyNumberFormat="1" applyFont="1" applyFill="1" applyBorder="1" applyAlignment="1" applyProtection="1">
      <alignment horizontal="center"/>
      <protection/>
    </xf>
    <xf numFmtId="49" fontId="7" fillId="0" borderId="22" xfId="0" applyNumberFormat="1" applyFont="1" applyFill="1" applyBorder="1" applyAlignment="1" applyProtection="1">
      <alignment horizontal="left"/>
      <protection/>
    </xf>
    <xf numFmtId="49" fontId="7" fillId="0" borderId="11" xfId="0" applyNumberFormat="1" applyFont="1" applyFill="1" applyBorder="1" applyAlignment="1" applyProtection="1">
      <alignment horizontal="left"/>
      <protection/>
    </xf>
    <xf numFmtId="49" fontId="14" fillId="0" borderId="4" xfId="0" applyNumberFormat="1" applyFont="1" applyFill="1" applyBorder="1" applyAlignment="1" applyProtection="1">
      <alignment horizontal="center"/>
      <protection/>
    </xf>
    <xf numFmtId="0" fontId="19" fillId="0" borderId="62" xfId="0" applyNumberFormat="1" applyFont="1" applyFill="1" applyBorder="1" applyAlignment="1" applyProtection="1">
      <alignment horizontal="center"/>
      <protection/>
    </xf>
    <xf numFmtId="49" fontId="19" fillId="0" borderId="63" xfId="0" applyNumberFormat="1" applyFont="1" applyFill="1" applyBorder="1" applyAlignment="1" applyProtection="1">
      <alignment horizontal="center"/>
      <protection/>
    </xf>
    <xf numFmtId="0" fontId="19" fillId="0" borderId="64" xfId="0" applyNumberFormat="1" applyFont="1" applyFill="1" applyBorder="1" applyAlignment="1" applyProtection="1">
      <alignment horizontal="center"/>
      <protection/>
    </xf>
    <xf numFmtId="49" fontId="19" fillId="0" borderId="65" xfId="0" applyNumberFormat="1" applyFont="1" applyFill="1" applyBorder="1" applyAlignment="1" applyProtection="1">
      <alignment horizontal="center"/>
      <protection/>
    </xf>
    <xf numFmtId="168" fontId="17" fillId="0" borderId="20" xfId="0" applyNumberFormat="1" applyFont="1" applyFill="1" applyBorder="1" applyAlignment="1" applyProtection="1">
      <alignment horizontal="center"/>
      <protection/>
    </xf>
    <xf numFmtId="168" fontId="17" fillId="0" borderId="24" xfId="0" applyNumberFormat="1" applyFont="1" applyFill="1" applyBorder="1" applyAlignment="1" applyProtection="1">
      <alignment horizontal="center"/>
      <protection/>
    </xf>
    <xf numFmtId="1" fontId="7" fillId="0" borderId="0" xfId="0" applyNumberFormat="1" applyFont="1" applyFill="1" applyBorder="1" applyAlignment="1" applyProtection="1">
      <alignment horizontal="center"/>
      <protection/>
    </xf>
    <xf numFmtId="49" fontId="17" fillId="0" borderId="2"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protection locked="0"/>
    </xf>
    <xf numFmtId="49" fontId="46" fillId="0" borderId="5" xfId="0" applyNumberFormat="1" applyFont="1" applyFill="1" applyBorder="1" applyAlignment="1" applyProtection="1">
      <alignment horizontal="center"/>
      <protection/>
    </xf>
    <xf numFmtId="49" fontId="46" fillId="0" borderId="2" xfId="0" applyNumberFormat="1" applyFont="1" applyFill="1" applyBorder="1" applyAlignment="1" applyProtection="1">
      <alignment horizontal="center"/>
      <protection/>
    </xf>
    <xf numFmtId="0" fontId="25" fillId="0" borderId="29" xfId="0" applyNumberFormat="1" applyFont="1" applyFill="1" applyBorder="1" applyAlignment="1" applyProtection="1">
      <alignment horizontal="center"/>
      <protection/>
    </xf>
    <xf numFmtId="49" fontId="7" fillId="0" borderId="5" xfId="0" applyNumberFormat="1" applyFont="1" applyFill="1" applyBorder="1" applyAlignment="1" applyProtection="1">
      <alignment horizontal="right"/>
      <protection/>
    </xf>
    <xf numFmtId="49" fontId="7" fillId="0" borderId="2" xfId="0" applyNumberFormat="1" applyFont="1" applyFill="1" applyBorder="1" applyAlignment="1" applyProtection="1">
      <alignment horizontal="right"/>
      <protection/>
    </xf>
    <xf numFmtId="49" fontId="7" fillId="0" borderId="29" xfId="0" applyNumberFormat="1" applyFont="1" applyFill="1" applyBorder="1" applyAlignment="1" applyProtection="1">
      <alignment horizontal="right"/>
      <protection/>
    </xf>
    <xf numFmtId="49" fontId="7" fillId="0" borderId="22" xfId="0" applyNumberFormat="1" applyFont="1" applyFill="1" applyBorder="1" applyAlignment="1" applyProtection="1">
      <alignment horizontal="right"/>
      <protection/>
    </xf>
    <xf numFmtId="49" fontId="7" fillId="0" borderId="11" xfId="0" applyNumberFormat="1" applyFont="1" applyFill="1" applyBorder="1" applyAlignment="1" applyProtection="1">
      <alignment horizontal="right"/>
      <protection/>
    </xf>
    <xf numFmtId="49" fontId="7" fillId="0" borderId="21" xfId="0" applyNumberFormat="1" applyFont="1" applyFill="1" applyBorder="1" applyAlignment="1" applyProtection="1">
      <alignment horizontal="right"/>
      <protection/>
    </xf>
    <xf numFmtId="168" fontId="17" fillId="0" borderId="18" xfId="0" applyNumberFormat="1" applyFont="1" applyFill="1" applyBorder="1" applyAlignment="1" applyProtection="1">
      <alignment horizontal="center"/>
      <protection/>
    </xf>
    <xf numFmtId="168" fontId="17" fillId="0" borderId="17" xfId="0" applyNumberFormat="1" applyFont="1" applyFill="1" applyBorder="1" applyAlignment="1" applyProtection="1">
      <alignment horizontal="center"/>
      <protection/>
    </xf>
    <xf numFmtId="49" fontId="7" fillId="0" borderId="6" xfId="0" applyNumberFormat="1" applyFont="1" applyFill="1" applyBorder="1" applyAlignment="1" applyProtection="1">
      <alignment horizontal="right"/>
      <protection/>
    </xf>
    <xf numFmtId="49" fontId="7" fillId="0" borderId="8" xfId="0" applyNumberFormat="1" applyFont="1" applyFill="1" applyBorder="1" applyAlignment="1" applyProtection="1">
      <alignment horizontal="right"/>
      <protection/>
    </xf>
    <xf numFmtId="168" fontId="17" fillId="4" borderId="18" xfId="0" applyNumberFormat="1" applyFont="1" applyFill="1" applyBorder="1" applyAlignment="1" applyProtection="1">
      <alignment horizontal="center"/>
      <protection/>
    </xf>
    <xf numFmtId="168" fontId="17" fillId="4" borderId="17" xfId="0" applyNumberFormat="1" applyFont="1" applyFill="1" applyBorder="1" applyAlignment="1" applyProtection="1">
      <alignment horizontal="center"/>
      <protection/>
    </xf>
    <xf numFmtId="171" fontId="17" fillId="0" borderId="12" xfId="0" applyNumberFormat="1" applyFont="1" applyFill="1" applyBorder="1" applyAlignment="1" applyProtection="1">
      <alignment horizontal="center"/>
      <protection/>
    </xf>
    <xf numFmtId="171" fontId="17" fillId="0" borderId="14" xfId="0" applyNumberFormat="1" applyFont="1" applyFill="1" applyBorder="1" applyAlignment="1" applyProtection="1">
      <alignment horizontal="center"/>
      <protection/>
    </xf>
    <xf numFmtId="49" fontId="7" fillId="0" borderId="5" xfId="0" applyNumberFormat="1" applyFont="1" applyFill="1" applyBorder="1" applyAlignment="1" applyProtection="1">
      <alignment horizontal="center"/>
      <protection/>
    </xf>
    <xf numFmtId="49" fontId="7" fillId="0" borderId="29" xfId="0" applyNumberFormat="1" applyFont="1" applyFill="1" applyBorder="1" applyAlignment="1" applyProtection="1">
      <alignment horizontal="center"/>
      <protection/>
    </xf>
    <xf numFmtId="0" fontId="6" fillId="0" borderId="18" xfId="0" applyNumberFormat="1" applyFont="1" applyFill="1" applyBorder="1" applyAlignment="1" applyProtection="1">
      <alignment/>
      <protection/>
    </xf>
    <xf numFmtId="0" fontId="6" fillId="0" borderId="16" xfId="0" applyNumberFormat="1" applyFont="1" applyFill="1" applyBorder="1" applyAlignment="1" applyProtection="1">
      <alignment/>
      <protection/>
    </xf>
    <xf numFmtId="49" fontId="39" fillId="0" borderId="18" xfId="0" applyNumberFormat="1" applyFont="1" applyFill="1" applyBorder="1" applyAlignment="1" applyProtection="1">
      <alignment horizontal="left"/>
      <protection/>
    </xf>
    <xf numFmtId="49" fontId="39" fillId="0" borderId="16" xfId="0" applyNumberFormat="1" applyFont="1" applyFill="1" applyBorder="1" applyAlignment="1" applyProtection="1">
      <alignment horizontal="left"/>
      <protection/>
    </xf>
    <xf numFmtId="49" fontId="39" fillId="0" borderId="17" xfId="0" applyNumberFormat="1" applyFont="1" applyFill="1" applyBorder="1" applyAlignment="1" applyProtection="1">
      <alignment horizontal="left"/>
      <protection/>
    </xf>
    <xf numFmtId="0" fontId="6" fillId="0" borderId="17" xfId="0" applyNumberFormat="1" applyFont="1" applyFill="1" applyBorder="1" applyAlignment="1" applyProtection="1">
      <alignment/>
      <protection/>
    </xf>
    <xf numFmtId="0" fontId="6"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49" fontId="6" fillId="0" borderId="12" xfId="0" applyNumberFormat="1" applyFont="1" applyFill="1" applyBorder="1" applyAlignment="1" applyProtection="1">
      <alignment/>
      <protection/>
    </xf>
    <xf numFmtId="49" fontId="6" fillId="0" borderId="13" xfId="0" applyNumberFormat="1" applyFont="1" applyFill="1" applyBorder="1" applyAlignment="1" applyProtection="1">
      <alignment/>
      <protection/>
    </xf>
    <xf numFmtId="49" fontId="6" fillId="0" borderId="14" xfId="0" applyNumberFormat="1" applyFont="1" applyFill="1" applyBorder="1" applyAlignment="1" applyProtection="1">
      <alignment/>
      <protection/>
    </xf>
    <xf numFmtId="0" fontId="19" fillId="0" borderId="66" xfId="0" applyNumberFormat="1" applyFont="1" applyFill="1" applyBorder="1" applyAlignment="1" applyProtection="1">
      <alignment horizontal="center"/>
      <protection/>
    </xf>
    <xf numFmtId="49" fontId="19" fillId="0" borderId="67" xfId="0" applyNumberFormat="1" applyFont="1" applyFill="1" applyBorder="1" applyAlignment="1" applyProtection="1">
      <alignment horizontal="center"/>
      <protection/>
    </xf>
    <xf numFmtId="0" fontId="39" fillId="0" borderId="68" xfId="0" applyNumberFormat="1" applyFont="1" applyFill="1" applyBorder="1" applyAlignment="1" applyProtection="1">
      <alignment horizontal="left"/>
      <protection/>
    </xf>
    <xf numFmtId="0" fontId="39" fillId="0" borderId="69" xfId="0" applyNumberFormat="1" applyFont="1" applyFill="1" applyBorder="1" applyAlignment="1" applyProtection="1">
      <alignment horizontal="left"/>
      <protection/>
    </xf>
    <xf numFmtId="178" fontId="48" fillId="0" borderId="69" xfId="0" applyNumberFormat="1" applyFont="1" applyFill="1" applyBorder="1" applyAlignment="1" applyProtection="1">
      <alignment horizontal="center"/>
      <protection/>
    </xf>
    <xf numFmtId="178" fontId="48" fillId="0" borderId="70" xfId="0" applyNumberFormat="1" applyFont="1" applyFill="1" applyBorder="1" applyAlignment="1" applyProtection="1">
      <alignment horizontal="center"/>
      <protection/>
    </xf>
    <xf numFmtId="0" fontId="39" fillId="0" borderId="71" xfId="0" applyNumberFormat="1" applyFont="1" applyFill="1" applyBorder="1" applyAlignment="1" applyProtection="1">
      <alignment horizontal="left"/>
      <protection/>
    </xf>
    <xf numFmtId="0" fontId="39" fillId="0" borderId="72" xfId="0" applyNumberFormat="1" applyFont="1" applyFill="1" applyBorder="1" applyAlignment="1" applyProtection="1">
      <alignment/>
      <protection/>
    </xf>
    <xf numFmtId="0" fontId="39" fillId="0" borderId="73" xfId="0" applyNumberFormat="1" applyFont="1" applyFill="1" applyBorder="1" applyAlignment="1" applyProtection="1">
      <alignment/>
      <protection/>
    </xf>
    <xf numFmtId="178" fontId="48" fillId="0" borderId="73" xfId="0" applyNumberFormat="1" applyFont="1" applyFill="1" applyBorder="1" applyAlignment="1" applyProtection="1">
      <alignment horizontal="center"/>
      <protection/>
    </xf>
    <xf numFmtId="178" fontId="48" fillId="0" borderId="74" xfId="0" applyNumberFormat="1" applyFont="1" applyFill="1" applyBorder="1" applyAlignment="1" applyProtection="1">
      <alignment horizontal="center"/>
      <protection/>
    </xf>
    <xf numFmtId="0" fontId="39" fillId="0" borderId="72" xfId="0" applyNumberFormat="1" applyFont="1" applyFill="1" applyBorder="1" applyAlignment="1" applyProtection="1">
      <alignment horizontal="left"/>
      <protection/>
    </xf>
    <xf numFmtId="0" fontId="39" fillId="0" borderId="73" xfId="0" applyNumberFormat="1" applyFont="1" applyFill="1" applyBorder="1" applyAlignment="1" applyProtection="1">
      <alignment horizontal="left"/>
      <protection/>
    </xf>
    <xf numFmtId="178" fontId="48" fillId="0" borderId="65" xfId="0" applyNumberFormat="1" applyFont="1" applyFill="1" applyBorder="1" applyAlignment="1" applyProtection="1">
      <alignment horizontal="center"/>
      <protection/>
    </xf>
    <xf numFmtId="0" fontId="39" fillId="0" borderId="64" xfId="0" applyNumberFormat="1" applyFont="1" applyFill="1" applyBorder="1" applyAlignment="1" applyProtection="1">
      <alignment horizontal="left"/>
      <protection/>
    </xf>
    <xf numFmtId="0" fontId="39" fillId="0" borderId="75" xfId="0" applyNumberFormat="1" applyFont="1" applyFill="1" applyBorder="1" applyAlignment="1" applyProtection="1">
      <alignment horizontal="left"/>
      <protection/>
    </xf>
    <xf numFmtId="0" fontId="39" fillId="0" borderId="76" xfId="0" applyNumberFormat="1" applyFont="1" applyFill="1" applyBorder="1" applyAlignment="1" applyProtection="1">
      <alignment horizontal="left"/>
      <protection/>
    </xf>
    <xf numFmtId="178" fontId="48" fillId="0" borderId="76" xfId="0" applyNumberFormat="1" applyFont="1" applyFill="1" applyBorder="1" applyAlignment="1" applyProtection="1">
      <alignment horizontal="center"/>
      <protection/>
    </xf>
    <xf numFmtId="178" fontId="48" fillId="0" borderId="77" xfId="0" applyNumberFormat="1" applyFont="1" applyFill="1" applyBorder="1" applyAlignment="1" applyProtection="1">
      <alignment horizontal="center"/>
      <protection/>
    </xf>
    <xf numFmtId="0" fontId="39" fillId="0" borderId="75" xfId="0" applyNumberFormat="1" applyFont="1" applyFill="1" applyBorder="1" applyAlignment="1" applyProtection="1">
      <alignment/>
      <protection/>
    </xf>
    <xf numFmtId="0" fontId="39" fillId="0" borderId="76" xfId="0" applyNumberFormat="1" applyFont="1" applyFill="1" applyBorder="1" applyAlignment="1" applyProtection="1">
      <alignment/>
      <protection/>
    </xf>
    <xf numFmtId="178" fontId="48" fillId="0" borderId="78" xfId="0" applyNumberFormat="1" applyFont="1" applyFill="1" applyBorder="1" applyAlignment="1" applyProtection="1">
      <alignment horizontal="center"/>
      <protection/>
    </xf>
    <xf numFmtId="0" fontId="39" fillId="0" borderId="79" xfId="0" applyNumberFormat="1" applyFont="1" applyFill="1" applyBorder="1" applyAlignment="1" applyProtection="1">
      <alignment horizontal="left"/>
      <protection/>
    </xf>
    <xf numFmtId="49" fontId="20" fillId="0" borderId="18" xfId="0" applyNumberFormat="1" applyFont="1" applyFill="1" applyBorder="1" applyAlignment="1" applyProtection="1">
      <alignment/>
      <protection/>
    </xf>
    <xf numFmtId="49" fontId="20" fillId="0" borderId="16" xfId="0" applyNumberFormat="1" applyFont="1" applyFill="1" applyBorder="1" applyAlignment="1" applyProtection="1">
      <alignment/>
      <protection/>
    </xf>
    <xf numFmtId="49" fontId="20" fillId="0" borderId="17" xfId="0" applyNumberFormat="1" applyFont="1" applyFill="1" applyBorder="1" applyAlignment="1" applyProtection="1">
      <alignment/>
      <protection/>
    </xf>
    <xf numFmtId="49" fontId="20" fillId="0" borderId="20" xfId="0" applyNumberFormat="1" applyFont="1" applyFill="1" applyBorder="1" applyAlignment="1" applyProtection="1">
      <alignment/>
      <protection/>
    </xf>
    <xf numFmtId="49" fontId="20" fillId="0" borderId="23" xfId="0" applyNumberFormat="1" applyFont="1" applyFill="1" applyBorder="1" applyAlignment="1" applyProtection="1">
      <alignment/>
      <protection/>
    </xf>
    <xf numFmtId="49" fontId="20" fillId="0" borderId="24" xfId="0" applyNumberFormat="1" applyFont="1" applyFill="1" applyBorder="1" applyAlignment="1" applyProtection="1">
      <alignment/>
      <protection/>
    </xf>
    <xf numFmtId="49" fontId="20" fillId="0" borderId="12" xfId="0" applyNumberFormat="1" applyFont="1" applyFill="1" applyBorder="1" applyAlignment="1" applyProtection="1">
      <alignment/>
      <protection/>
    </xf>
    <xf numFmtId="49" fontId="20" fillId="0" borderId="13" xfId="0" applyNumberFormat="1" applyFont="1" applyFill="1" applyBorder="1" applyAlignment="1" applyProtection="1">
      <alignment/>
      <protection/>
    </xf>
    <xf numFmtId="49" fontId="20" fillId="0" borderId="14" xfId="0" applyNumberFormat="1" applyFont="1" applyFill="1" applyBorder="1" applyAlignment="1" applyProtection="1">
      <alignment/>
      <protection/>
    </xf>
    <xf numFmtId="0" fontId="19" fillId="0" borderId="18"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protection/>
    </xf>
    <xf numFmtId="49" fontId="17" fillId="0" borderId="80" xfId="0" applyNumberFormat="1" applyFont="1" applyFill="1" applyBorder="1" applyAlignment="1" applyProtection="1">
      <alignment horizontal="left"/>
      <protection/>
    </xf>
    <xf numFmtId="49" fontId="17" fillId="0" borderId="13" xfId="0" applyNumberFormat="1" applyFont="1" applyFill="1" applyBorder="1" applyAlignment="1" applyProtection="1">
      <alignment horizontal="left"/>
      <protection/>
    </xf>
    <xf numFmtId="49" fontId="17" fillId="0" borderId="14" xfId="0" applyNumberFormat="1" applyFont="1" applyFill="1" applyBorder="1" applyAlignment="1" applyProtection="1">
      <alignment horizontal="left"/>
      <protection/>
    </xf>
    <xf numFmtId="3" fontId="8" fillId="3" borderId="6" xfId="0" applyNumberFormat="1" applyFont="1" applyFill="1" applyBorder="1" applyAlignment="1" applyProtection="1">
      <alignment horizontal="center" vertical="center"/>
      <protection/>
    </xf>
    <xf numFmtId="3" fontId="8" fillId="3" borderId="0" xfId="0" applyNumberFormat="1" applyFont="1" applyFill="1" applyBorder="1" applyAlignment="1" applyProtection="1">
      <alignment horizontal="center" vertical="center"/>
      <protection/>
    </xf>
    <xf numFmtId="3" fontId="8" fillId="7" borderId="22" xfId="0" applyNumberFormat="1" applyFont="1" applyFill="1" applyBorder="1" applyAlignment="1" applyProtection="1">
      <alignment horizontal="center" vertical="center"/>
      <protection/>
    </xf>
    <xf numFmtId="3" fontId="8" fillId="7" borderId="11" xfId="0" applyNumberFormat="1" applyFont="1" applyFill="1" applyBorder="1" applyAlignment="1" applyProtection="1">
      <alignment horizontal="center" vertical="center"/>
      <protection/>
    </xf>
    <xf numFmtId="3" fontId="18" fillId="0" borderId="12" xfId="0" applyNumberFormat="1" applyFont="1" applyFill="1" applyBorder="1" applyAlignment="1" applyProtection="1">
      <alignment horizontal="center" vertical="center"/>
      <protection/>
    </xf>
    <xf numFmtId="3" fontId="18" fillId="0" borderId="13" xfId="0" applyNumberFormat="1" applyFont="1" applyFill="1" applyBorder="1" applyAlignment="1" applyProtection="1">
      <alignment horizontal="center" vertical="center"/>
      <protection/>
    </xf>
    <xf numFmtId="3" fontId="18" fillId="0" borderId="14" xfId="0" applyNumberFormat="1" applyFont="1" applyFill="1" applyBorder="1" applyAlignment="1" applyProtection="1">
      <alignment horizontal="center" vertical="center"/>
      <protection/>
    </xf>
    <xf numFmtId="3" fontId="18" fillId="0" borderId="18" xfId="0" applyNumberFormat="1" applyFont="1" applyFill="1" applyBorder="1" applyAlignment="1" applyProtection="1">
      <alignment horizontal="center" vertical="center"/>
      <protection/>
    </xf>
    <xf numFmtId="3" fontId="18" fillId="0" borderId="16" xfId="0" applyNumberFormat="1" applyFont="1" applyFill="1" applyBorder="1" applyAlignment="1" applyProtection="1">
      <alignment horizontal="center" vertical="center"/>
      <protection/>
    </xf>
    <xf numFmtId="3" fontId="18" fillId="0" borderId="17" xfId="0" applyNumberFormat="1" applyFont="1" applyFill="1" applyBorder="1" applyAlignment="1" applyProtection="1">
      <alignment horizontal="center" vertical="center"/>
      <protection/>
    </xf>
    <xf numFmtId="3" fontId="18" fillId="0" borderId="20" xfId="0" applyNumberFormat="1" applyFont="1" applyFill="1" applyBorder="1" applyAlignment="1" applyProtection="1">
      <alignment horizontal="center" vertical="center"/>
      <protection/>
    </xf>
    <xf numFmtId="3" fontId="18" fillId="0" borderId="23" xfId="0" applyNumberFormat="1" applyFont="1" applyFill="1" applyBorder="1" applyAlignment="1" applyProtection="1">
      <alignment horizontal="center" vertical="center"/>
      <protection/>
    </xf>
    <xf numFmtId="3" fontId="18" fillId="0" borderId="24" xfId="0" applyNumberFormat="1" applyFont="1" applyFill="1" applyBorder="1" applyAlignment="1" applyProtection="1">
      <alignment horizontal="center" vertical="center"/>
      <protection/>
    </xf>
    <xf numFmtId="49" fontId="19" fillId="0" borderId="81" xfId="0" applyNumberFormat="1" applyFont="1" applyFill="1" applyBorder="1" applyAlignment="1" applyProtection="1">
      <alignment horizontal="left" indent="1"/>
      <protection/>
    </xf>
    <xf numFmtId="49" fontId="19" fillId="0" borderId="82" xfId="0" applyNumberFormat="1" applyFont="1" applyFill="1" applyBorder="1" applyAlignment="1" applyProtection="1">
      <alignment horizontal="left" indent="1"/>
      <protection/>
    </xf>
    <xf numFmtId="49" fontId="19" fillId="0" borderId="83" xfId="0" applyNumberFormat="1" applyFont="1" applyFill="1" applyBorder="1" applyAlignment="1" applyProtection="1">
      <alignment horizontal="left" indent="1"/>
      <protection/>
    </xf>
    <xf numFmtId="0" fontId="7" fillId="0" borderId="20" xfId="0" applyFont="1" applyBorder="1" applyAlignment="1" applyProtection="1">
      <alignment horizontal="left"/>
      <protection/>
    </xf>
    <xf numFmtId="0" fontId="7" fillId="0" borderId="23" xfId="0" applyFont="1" applyBorder="1" applyAlignment="1" applyProtection="1">
      <alignment horizontal="left"/>
      <protection/>
    </xf>
    <xf numFmtId="0" fontId="7" fillId="0" borderId="24" xfId="0" applyFont="1" applyBorder="1" applyAlignment="1" applyProtection="1">
      <alignment horizontal="left"/>
      <protection/>
    </xf>
    <xf numFmtId="0" fontId="39" fillId="0" borderId="22" xfId="0" applyNumberFormat="1" applyFont="1" applyFill="1" applyBorder="1" applyAlignment="1" applyProtection="1">
      <alignment horizontal="center"/>
      <protection/>
    </xf>
    <xf numFmtId="0" fontId="39" fillId="0" borderId="11" xfId="0" applyNumberFormat="1" applyFont="1" applyFill="1" applyBorder="1" applyAlignment="1" applyProtection="1">
      <alignment horizontal="center"/>
      <protection/>
    </xf>
    <xf numFmtId="0" fontId="39" fillId="0" borderId="21" xfId="0" applyNumberFormat="1" applyFont="1" applyFill="1" applyBorder="1" applyAlignment="1" applyProtection="1">
      <alignment horizontal="center"/>
      <protection/>
    </xf>
    <xf numFmtId="0" fontId="39" fillId="0" borderId="68" xfId="0" applyNumberFormat="1" applyFont="1" applyFill="1" applyBorder="1" applyAlignment="1" applyProtection="1">
      <alignment/>
      <protection/>
    </xf>
    <xf numFmtId="0" fontId="39" fillId="0" borderId="69" xfId="0" applyNumberFormat="1" applyFont="1" applyFill="1" applyBorder="1" applyAlignment="1" applyProtection="1">
      <alignment/>
      <protection/>
    </xf>
    <xf numFmtId="178" fontId="48" fillId="0" borderId="84" xfId="0" applyNumberFormat="1" applyFont="1" applyFill="1" applyBorder="1" applyAlignment="1" applyProtection="1">
      <alignment horizontal="center"/>
      <protection/>
    </xf>
    <xf numFmtId="49" fontId="19" fillId="0" borderId="15" xfId="0" applyNumberFormat="1" applyFont="1" applyFill="1" applyBorder="1" applyAlignment="1" applyProtection="1">
      <alignment horizontal="left" indent="1"/>
      <protection/>
    </xf>
    <xf numFmtId="49" fontId="19" fillId="0" borderId="16" xfId="0" applyNumberFormat="1" applyFont="1" applyFill="1" applyBorder="1" applyAlignment="1" applyProtection="1">
      <alignment horizontal="left" indent="1"/>
      <protection/>
    </xf>
    <xf numFmtId="49" fontId="19" fillId="0" borderId="17" xfId="0" applyNumberFormat="1" applyFont="1" applyFill="1" applyBorder="1" applyAlignment="1" applyProtection="1">
      <alignment horizontal="left" indent="1"/>
      <protection/>
    </xf>
    <xf numFmtId="3" fontId="8" fillId="8" borderId="3" xfId="0" applyNumberFormat="1" applyFont="1" applyFill="1" applyBorder="1" applyAlignment="1" applyProtection="1">
      <alignment horizontal="center" vertical="center"/>
      <protection/>
    </xf>
    <xf numFmtId="3" fontId="8" fillId="8" borderId="1" xfId="0" applyNumberFormat="1" applyFont="1" applyFill="1" applyBorder="1" applyAlignment="1" applyProtection="1">
      <alignment horizontal="center" vertical="center"/>
      <protection/>
    </xf>
    <xf numFmtId="3" fontId="8" fillId="2" borderId="6" xfId="0" applyNumberFormat="1" applyFont="1" applyFill="1" applyBorder="1" applyAlignment="1" applyProtection="1">
      <alignment horizontal="center" vertical="center"/>
      <protection/>
    </xf>
    <xf numFmtId="3" fontId="8" fillId="2" borderId="0" xfId="0" applyNumberFormat="1" applyFont="1" applyFill="1" applyBorder="1" applyAlignment="1" applyProtection="1">
      <alignment horizontal="center" vertical="center"/>
      <protection/>
    </xf>
    <xf numFmtId="49" fontId="6" fillId="0" borderId="5" xfId="0" applyNumberFormat="1" applyFont="1" applyFill="1" applyBorder="1" applyAlignment="1" applyProtection="1">
      <alignment horizontal="center"/>
      <protection/>
    </xf>
    <xf numFmtId="49" fontId="6" fillId="0" borderId="2" xfId="0" applyNumberFormat="1" applyFont="1" applyFill="1" applyBorder="1" applyAlignment="1" applyProtection="1">
      <alignment horizontal="center"/>
      <protection/>
    </xf>
    <xf numFmtId="49" fontId="6" fillId="0" borderId="29" xfId="0" applyNumberFormat="1" applyFont="1" applyFill="1" applyBorder="1" applyAlignment="1" applyProtection="1">
      <alignment horizontal="center"/>
      <protection/>
    </xf>
    <xf numFmtId="0" fontId="40" fillId="0" borderId="0" xfId="0" applyNumberFormat="1" applyFont="1" applyFill="1" applyBorder="1" applyAlignment="1" applyProtection="1">
      <alignment horizontal="center"/>
      <protection/>
    </xf>
    <xf numFmtId="0" fontId="19" fillId="0" borderId="16" xfId="0" applyNumberFormat="1" applyFont="1" applyFill="1" applyBorder="1" applyAlignment="1" applyProtection="1">
      <alignment horizontal="center"/>
      <protection/>
    </xf>
    <xf numFmtId="0" fontId="17" fillId="9" borderId="20" xfId="0" applyNumberFormat="1" applyFont="1" applyFill="1" applyBorder="1" applyAlignment="1" applyProtection="1">
      <alignment horizontal="center"/>
      <protection/>
    </xf>
    <xf numFmtId="0" fontId="17" fillId="9" borderId="85" xfId="0" applyNumberFormat="1" applyFont="1" applyFill="1" applyBorder="1" applyAlignment="1" applyProtection="1">
      <alignment horizontal="center"/>
      <protection/>
    </xf>
    <xf numFmtId="0" fontId="7" fillId="0" borderId="12" xfId="0" applyFont="1" applyBorder="1" applyAlignment="1" applyProtection="1">
      <alignment horizontal="lef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7" fillId="0" borderId="18" xfId="0" applyFont="1" applyBorder="1" applyAlignment="1" applyProtection="1">
      <alignment horizontal="left"/>
      <protection/>
    </xf>
    <xf numFmtId="0" fontId="7" fillId="0" borderId="16" xfId="0" applyFont="1" applyBorder="1" applyAlignment="1" applyProtection="1">
      <alignment horizontal="left"/>
      <protection/>
    </xf>
    <xf numFmtId="0" fontId="7" fillId="0" borderId="17" xfId="0" applyFont="1" applyBorder="1" applyAlignment="1" applyProtection="1">
      <alignment horizontal="left"/>
      <protection/>
    </xf>
    <xf numFmtId="0" fontId="7" fillId="0" borderId="16"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left"/>
      <protection/>
    </xf>
    <xf numFmtId="0" fontId="19" fillId="0" borderId="86" xfId="0" applyNumberFormat="1" applyFont="1" applyFill="1" applyBorder="1" applyAlignment="1" applyProtection="1">
      <alignment horizontal="left"/>
      <protection/>
    </xf>
    <xf numFmtId="0" fontId="19" fillId="0" borderId="16" xfId="0" applyNumberFormat="1" applyFont="1" applyFill="1" applyBorder="1" applyAlignment="1" applyProtection="1">
      <alignment horizontal="left"/>
      <protection/>
    </xf>
    <xf numFmtId="0" fontId="19" fillId="0" borderId="17" xfId="0" applyNumberFormat="1" applyFont="1" applyFill="1" applyBorder="1" applyAlignment="1" applyProtection="1">
      <alignment horizontal="left"/>
      <protection/>
    </xf>
    <xf numFmtId="0" fontId="6" fillId="0" borderId="5" xfId="0" applyFont="1" applyBorder="1" applyAlignment="1" applyProtection="1">
      <alignment horizontal="center"/>
      <protection/>
    </xf>
    <xf numFmtId="0" fontId="6" fillId="0" borderId="2" xfId="0" applyFont="1" applyBorder="1" applyAlignment="1" applyProtection="1">
      <alignment horizontal="center"/>
      <protection/>
    </xf>
    <xf numFmtId="0" fontId="6" fillId="0" borderId="29" xfId="0" applyFont="1" applyBorder="1" applyAlignment="1" applyProtection="1">
      <alignment horizontal="center"/>
      <protection/>
    </xf>
    <xf numFmtId="0" fontId="6" fillId="0" borderId="56" xfId="0" applyNumberFormat="1" applyFont="1" applyFill="1" applyBorder="1" applyAlignment="1" applyProtection="1">
      <alignment horizontal="right"/>
      <protection/>
    </xf>
    <xf numFmtId="0" fontId="6" fillId="0" borderId="42" xfId="0" applyNumberFormat="1" applyFont="1" applyFill="1" applyBorder="1" applyAlignment="1" applyProtection="1">
      <alignment horizontal="right"/>
      <protection/>
    </xf>
    <xf numFmtId="0" fontId="19" fillId="0" borderId="87" xfId="0" applyNumberFormat="1" applyFont="1" applyFill="1" applyBorder="1" applyAlignment="1" applyProtection="1">
      <alignment horizontal="center"/>
      <protection/>
    </xf>
    <xf numFmtId="0" fontId="19" fillId="0" borderId="88" xfId="0" applyNumberFormat="1" applyFont="1" applyFill="1" applyBorder="1" applyAlignment="1" applyProtection="1">
      <alignment horizontal="center"/>
      <protection/>
    </xf>
    <xf numFmtId="0" fontId="19" fillId="4" borderId="12" xfId="0" applyNumberFormat="1" applyFont="1" applyFill="1" applyBorder="1" applyAlignment="1" applyProtection="1">
      <alignment horizontal="center"/>
      <protection/>
    </xf>
    <xf numFmtId="0" fontId="19" fillId="4" borderId="13" xfId="0" applyNumberFormat="1" applyFont="1" applyFill="1" applyBorder="1" applyAlignment="1" applyProtection="1">
      <alignment horizontal="center"/>
      <protection/>
    </xf>
    <xf numFmtId="0" fontId="19" fillId="4" borderId="14" xfId="0" applyNumberFormat="1" applyFont="1" applyFill="1" applyBorder="1" applyAlignment="1" applyProtection="1">
      <alignment horizontal="center"/>
      <protection/>
    </xf>
    <xf numFmtId="0" fontId="17" fillId="0" borderId="12" xfId="0" applyNumberFormat="1" applyFont="1" applyFill="1" applyBorder="1" applyAlignment="1" applyProtection="1">
      <alignment horizontal="center"/>
      <protection/>
    </xf>
    <xf numFmtId="0" fontId="17" fillId="0" borderId="89" xfId="0" applyNumberFormat="1" applyFont="1" applyFill="1" applyBorder="1" applyAlignment="1" applyProtection="1">
      <alignment horizontal="center"/>
      <protection/>
    </xf>
    <xf numFmtId="0" fontId="19" fillId="0" borderId="50" xfId="0" applyNumberFormat="1" applyFont="1" applyFill="1" applyBorder="1" applyAlignment="1" applyProtection="1">
      <alignment horizontal="center"/>
      <protection/>
    </xf>
    <xf numFmtId="49" fontId="37" fillId="0" borderId="90" xfId="0" applyNumberFormat="1" applyFont="1" applyFill="1" applyBorder="1" applyAlignment="1" applyProtection="1">
      <alignment horizontal="center"/>
      <protection/>
    </xf>
    <xf numFmtId="49" fontId="37" fillId="0" borderId="91" xfId="0" applyNumberFormat="1" applyFont="1" applyFill="1" applyBorder="1" applyAlignment="1" applyProtection="1">
      <alignment horizontal="center"/>
      <protection/>
    </xf>
    <xf numFmtId="49" fontId="37" fillId="0" borderId="92" xfId="0" applyNumberFormat="1" applyFont="1" applyFill="1" applyBorder="1" applyAlignment="1" applyProtection="1">
      <alignment horizontal="center"/>
      <protection/>
    </xf>
    <xf numFmtId="49" fontId="6" fillId="0" borderId="3" xfId="0" applyNumberFormat="1" applyFont="1" applyFill="1" applyBorder="1" applyAlignment="1" applyProtection="1">
      <alignment horizontal="left"/>
      <protection/>
    </xf>
    <xf numFmtId="49" fontId="6" fillId="0" borderId="1" xfId="0" applyNumberFormat="1" applyFont="1" applyFill="1" applyBorder="1" applyAlignment="1" applyProtection="1">
      <alignment horizontal="left"/>
      <protection/>
    </xf>
    <xf numFmtId="49" fontId="17" fillId="0" borderId="1" xfId="0" applyNumberFormat="1" applyFont="1" applyFill="1" applyBorder="1" applyAlignment="1" applyProtection="1">
      <alignment horizontal="left"/>
      <protection/>
    </xf>
    <xf numFmtId="49" fontId="17" fillId="0" borderId="7" xfId="0" applyNumberFormat="1" applyFont="1" applyFill="1" applyBorder="1" applyAlignment="1" applyProtection="1">
      <alignment horizontal="left"/>
      <protection/>
    </xf>
    <xf numFmtId="0" fontId="19" fillId="0" borderId="19" xfId="0" applyNumberFormat="1" applyFont="1" applyFill="1" applyBorder="1" applyAlignment="1" applyProtection="1">
      <alignment horizontal="center"/>
      <protection/>
    </xf>
    <xf numFmtId="0" fontId="6" fillId="0" borderId="93" xfId="0" applyNumberFormat="1" applyFont="1" applyFill="1" applyBorder="1" applyAlignment="1" applyProtection="1">
      <alignment horizontal="center"/>
      <protection/>
    </xf>
    <xf numFmtId="0" fontId="6" fillId="0" borderId="91" xfId="0" applyNumberFormat="1" applyFont="1" applyFill="1" applyBorder="1" applyAlignment="1" applyProtection="1">
      <alignment horizontal="center"/>
      <protection/>
    </xf>
    <xf numFmtId="0" fontId="6" fillId="0" borderId="92" xfId="0" applyNumberFormat="1" applyFont="1" applyFill="1" applyBorder="1" applyAlignment="1" applyProtection="1">
      <alignment horizontal="center"/>
      <protection/>
    </xf>
    <xf numFmtId="49" fontId="6" fillId="0" borderId="54" xfId="0" applyNumberFormat="1" applyFont="1" applyFill="1" applyBorder="1" applyAlignment="1" applyProtection="1">
      <alignment horizontal="center"/>
      <protection/>
    </xf>
    <xf numFmtId="49" fontId="6" fillId="0" borderId="91" xfId="0" applyNumberFormat="1" applyFont="1" applyFill="1" applyBorder="1" applyAlignment="1" applyProtection="1">
      <alignment horizontal="center"/>
      <protection/>
    </xf>
    <xf numFmtId="49" fontId="6" fillId="0" borderId="92" xfId="0" applyNumberFormat="1" applyFont="1" applyFill="1" applyBorder="1" applyAlignment="1" applyProtection="1">
      <alignment horizontal="center"/>
      <protection/>
    </xf>
    <xf numFmtId="0" fontId="17" fillId="0" borderId="94" xfId="0" applyNumberFormat="1" applyFont="1" applyFill="1" applyBorder="1" applyAlignment="1" applyProtection="1">
      <alignment horizontal="center"/>
      <protection/>
    </xf>
    <xf numFmtId="0" fontId="6" fillId="0" borderId="93" xfId="0" applyFont="1" applyBorder="1" applyAlignment="1" applyProtection="1">
      <alignment horizontal="center"/>
      <protection/>
    </xf>
    <xf numFmtId="0" fontId="6" fillId="0" borderId="91" xfId="0" applyFont="1" applyBorder="1" applyAlignment="1" applyProtection="1">
      <alignment horizontal="center"/>
      <protection/>
    </xf>
    <xf numFmtId="0" fontId="6" fillId="0" borderId="92" xfId="0" applyFont="1" applyBorder="1" applyAlignment="1" applyProtection="1">
      <alignment horizontal="center"/>
      <protection/>
    </xf>
    <xf numFmtId="0" fontId="6" fillId="0" borderId="95" xfId="0" applyNumberFormat="1" applyFont="1" applyFill="1" applyBorder="1" applyAlignment="1" applyProtection="1">
      <alignment horizontal="center"/>
      <protection/>
    </xf>
    <xf numFmtId="1" fontId="17" fillId="0" borderId="18" xfId="0" applyNumberFormat="1" applyFont="1" applyFill="1" applyBorder="1" applyAlignment="1" applyProtection="1">
      <alignment horizontal="center"/>
      <protection/>
    </xf>
    <xf numFmtId="1" fontId="17" fillId="0" borderId="50" xfId="0" applyNumberFormat="1" applyFont="1" applyFill="1" applyBorder="1" applyAlignment="1" applyProtection="1">
      <alignment horizontal="center"/>
      <protection/>
    </xf>
    <xf numFmtId="49" fontId="25" fillId="0" borderId="86" xfId="0" applyNumberFormat="1" applyFont="1" applyFill="1" applyBorder="1" applyAlignment="1" applyProtection="1">
      <alignment horizontal="left"/>
      <protection/>
    </xf>
    <xf numFmtId="0" fontId="25" fillId="0" borderId="16" xfId="0" applyNumberFormat="1" applyFont="1" applyFill="1" applyBorder="1" applyAlignment="1" applyProtection="1">
      <alignment horizontal="left"/>
      <protection/>
    </xf>
    <xf numFmtId="0" fontId="25" fillId="0" borderId="17" xfId="0" applyNumberFormat="1" applyFont="1" applyFill="1" applyBorder="1" applyAlignment="1" applyProtection="1">
      <alignment horizontal="left"/>
      <protection/>
    </xf>
    <xf numFmtId="0" fontId="6" fillId="0" borderId="55" xfId="0" applyNumberFormat="1" applyFont="1" applyFill="1" applyBorder="1" applyAlignment="1" applyProtection="1">
      <alignment horizontal="center"/>
      <protection/>
    </xf>
    <xf numFmtId="1" fontId="17" fillId="0" borderId="12" xfId="0" applyNumberFormat="1" applyFont="1" applyFill="1" applyBorder="1" applyAlignment="1" applyProtection="1">
      <alignment horizontal="center"/>
      <protection/>
    </xf>
    <xf numFmtId="1" fontId="17" fillId="0" borderId="94" xfId="0" applyNumberFormat="1" applyFont="1" applyFill="1" applyBorder="1" applyAlignment="1" applyProtection="1">
      <alignment horizontal="center"/>
      <protection/>
    </xf>
    <xf numFmtId="0" fontId="17" fillId="0" borderId="18" xfId="0" applyNumberFormat="1" applyFont="1" applyFill="1" applyBorder="1" applyAlignment="1" applyProtection="1">
      <alignment horizontal="center"/>
      <protection/>
    </xf>
    <xf numFmtId="0" fontId="17" fillId="0" borderId="50" xfId="0" applyNumberFormat="1" applyFont="1" applyFill="1" applyBorder="1" applyAlignment="1" applyProtection="1">
      <alignment horizontal="center"/>
      <protection/>
    </xf>
    <xf numFmtId="0" fontId="25" fillId="0" borderId="86" xfId="0" applyNumberFormat="1" applyFont="1" applyFill="1" applyBorder="1" applyAlignment="1" applyProtection="1">
      <alignment horizontal="left"/>
      <protection/>
    </xf>
    <xf numFmtId="0" fontId="38" fillId="0" borderId="96" xfId="0" applyFont="1" applyBorder="1" applyAlignment="1" applyProtection="1">
      <alignment horizontal="center"/>
      <protection/>
    </xf>
    <xf numFmtId="0" fontId="38" fillId="0" borderId="97" xfId="0" applyFont="1" applyBorder="1" applyAlignment="1" applyProtection="1">
      <alignment horizontal="center"/>
      <protection/>
    </xf>
    <xf numFmtId="0" fontId="38" fillId="0" borderId="98" xfId="0" applyFont="1" applyBorder="1" applyAlignment="1" applyProtection="1">
      <alignment horizontal="center"/>
      <protection/>
    </xf>
    <xf numFmtId="1" fontId="25" fillId="0" borderId="30" xfId="0" applyNumberFormat="1" applyFont="1" applyFill="1" applyBorder="1" applyAlignment="1" applyProtection="1">
      <alignment horizontal="center"/>
      <protection/>
    </xf>
    <xf numFmtId="1" fontId="25" fillId="0" borderId="32"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3" xfId="0" applyNumberFormat="1" applyFont="1" applyFill="1" applyBorder="1" applyAlignment="1" applyProtection="1">
      <alignment/>
      <protection/>
    </xf>
    <xf numFmtId="49" fontId="39" fillId="0" borderId="20" xfId="0" applyNumberFormat="1" applyFont="1" applyFill="1" applyBorder="1" applyAlignment="1" applyProtection="1">
      <alignment horizontal="left"/>
      <protection/>
    </xf>
    <xf numFmtId="49" fontId="39" fillId="0" borderId="23" xfId="0" applyNumberFormat="1" applyFont="1" applyFill="1" applyBorder="1" applyAlignment="1" applyProtection="1">
      <alignment horizontal="left"/>
      <protection/>
    </xf>
    <xf numFmtId="49" fontId="39" fillId="0" borderId="24" xfId="0" applyNumberFormat="1" applyFont="1" applyFill="1" applyBorder="1" applyAlignment="1" applyProtection="1">
      <alignment horizontal="left"/>
      <protection/>
    </xf>
    <xf numFmtId="0" fontId="6" fillId="0" borderId="24" xfId="0" applyNumberFormat="1" applyFont="1" applyFill="1" applyBorder="1" applyAlignment="1" applyProtection="1">
      <alignment/>
      <protection/>
    </xf>
    <xf numFmtId="49" fontId="39" fillId="0" borderId="12" xfId="0" applyNumberFormat="1" applyFont="1" applyFill="1" applyBorder="1" applyAlignment="1" applyProtection="1">
      <alignment horizontal="left"/>
      <protection/>
    </xf>
    <xf numFmtId="49" fontId="39" fillId="0" borderId="13" xfId="0" applyNumberFormat="1" applyFont="1" applyFill="1" applyBorder="1" applyAlignment="1" applyProtection="1">
      <alignment horizontal="left"/>
      <protection/>
    </xf>
    <xf numFmtId="49" fontId="39" fillId="0" borderId="14" xfId="0" applyNumberFormat="1" applyFont="1" applyFill="1" applyBorder="1" applyAlignment="1" applyProtection="1">
      <alignment horizontal="left"/>
      <protection/>
    </xf>
    <xf numFmtId="49" fontId="7" fillId="0" borderId="3" xfId="0" applyNumberFormat="1" applyFont="1" applyFill="1" applyBorder="1" applyAlignment="1" applyProtection="1">
      <alignment horizontal="right"/>
      <protection/>
    </xf>
    <xf numFmtId="49" fontId="7" fillId="0" borderId="1" xfId="0" applyNumberFormat="1" applyFont="1" applyFill="1" applyBorder="1" applyAlignment="1" applyProtection="1">
      <alignment horizontal="right"/>
      <protection/>
    </xf>
    <xf numFmtId="49" fontId="7" fillId="0" borderId="7" xfId="0" applyNumberFormat="1" applyFont="1" applyFill="1" applyBorder="1" applyAlignment="1" applyProtection="1">
      <alignment horizontal="right"/>
      <protection/>
    </xf>
    <xf numFmtId="0" fontId="25" fillId="0" borderId="99" xfId="0" applyNumberFormat="1" applyFont="1" applyFill="1" applyBorder="1" applyAlignment="1" applyProtection="1">
      <alignment horizontal="left"/>
      <protection/>
    </xf>
    <xf numFmtId="0" fontId="25" fillId="0" borderId="13" xfId="0" applyNumberFormat="1" applyFont="1" applyFill="1" applyBorder="1" applyAlignment="1" applyProtection="1">
      <alignment horizontal="left"/>
      <protection/>
    </xf>
    <xf numFmtId="0" fontId="25" fillId="0" borderId="14" xfId="0" applyNumberFormat="1" applyFont="1" applyFill="1" applyBorder="1" applyAlignment="1" applyProtection="1">
      <alignment horizontal="left"/>
      <protection/>
    </xf>
    <xf numFmtId="0" fontId="38" fillId="0" borderId="18" xfId="0" applyFont="1" applyBorder="1" applyAlignment="1" applyProtection="1">
      <alignment horizontal="center"/>
      <protection/>
    </xf>
    <xf numFmtId="0" fontId="38" fillId="0" borderId="16" xfId="0" applyFont="1" applyBorder="1" applyAlignment="1" applyProtection="1">
      <alignment horizontal="center"/>
      <protection/>
    </xf>
    <xf numFmtId="0" fontId="38" fillId="0" borderId="17" xfId="0" applyFont="1" applyBorder="1" applyAlignment="1" applyProtection="1">
      <alignment horizontal="center"/>
      <protection/>
    </xf>
    <xf numFmtId="0" fontId="17" fillId="9" borderId="100" xfId="0" applyNumberFormat="1" applyFont="1" applyFill="1" applyBorder="1" applyAlignment="1" applyProtection="1">
      <alignment horizontal="left"/>
      <protection/>
    </xf>
    <xf numFmtId="0" fontId="17" fillId="9" borderId="23" xfId="0" applyNumberFormat="1" applyFont="1" applyFill="1" applyBorder="1" applyAlignment="1" applyProtection="1">
      <alignment horizontal="left"/>
      <protection/>
    </xf>
    <xf numFmtId="0" fontId="17" fillId="9" borderId="24" xfId="0" applyNumberFormat="1" applyFont="1" applyFill="1" applyBorder="1" applyAlignment="1" applyProtection="1">
      <alignment horizontal="left"/>
      <protection/>
    </xf>
    <xf numFmtId="49" fontId="17" fillId="9" borderId="100" xfId="0" applyNumberFormat="1" applyFont="1" applyFill="1" applyBorder="1" applyAlignment="1" applyProtection="1">
      <alignment horizontal="left"/>
      <protection/>
    </xf>
    <xf numFmtId="49" fontId="17" fillId="9" borderId="23" xfId="0" applyNumberFormat="1" applyFont="1" applyFill="1" applyBorder="1" applyAlignment="1" applyProtection="1">
      <alignment horizontal="left"/>
      <protection/>
    </xf>
    <xf numFmtId="49" fontId="17" fillId="9" borderId="24" xfId="0" applyNumberFormat="1" applyFont="1" applyFill="1" applyBorder="1" applyAlignment="1" applyProtection="1">
      <alignment horizontal="left"/>
      <protection/>
    </xf>
    <xf numFmtId="0" fontId="19" fillId="0" borderId="83" xfId="0" applyNumberFormat="1" applyFont="1" applyFill="1" applyBorder="1" applyAlignment="1" applyProtection="1">
      <alignment horizontal="center"/>
      <protection/>
    </xf>
    <xf numFmtId="0" fontId="19" fillId="0" borderId="82" xfId="0" applyNumberFormat="1" applyFont="1" applyFill="1" applyBorder="1" applyAlignment="1" applyProtection="1">
      <alignment horizontal="center"/>
      <protection/>
    </xf>
    <xf numFmtId="0" fontId="38" fillId="0" borderId="87" xfId="0" applyFont="1" applyBorder="1" applyAlignment="1" applyProtection="1">
      <alignment horizontal="center"/>
      <protection/>
    </xf>
    <xf numFmtId="0" fontId="38" fillId="0" borderId="82" xfId="0" applyFont="1" applyBorder="1" applyAlignment="1" applyProtection="1">
      <alignment horizontal="center"/>
      <protection/>
    </xf>
    <xf numFmtId="0" fontId="38" fillId="0" borderId="83" xfId="0" applyFont="1" applyBorder="1" applyAlignment="1" applyProtection="1">
      <alignment horizontal="center"/>
      <protection/>
    </xf>
    <xf numFmtId="0" fontId="19" fillId="0" borderId="101" xfId="0" applyNumberFormat="1" applyFont="1" applyFill="1" applyBorder="1" applyAlignment="1" applyProtection="1">
      <alignment horizontal="center"/>
      <protection/>
    </xf>
    <xf numFmtId="0" fontId="7" fillId="2" borderId="41" xfId="0" applyNumberFormat="1" applyFont="1" applyFill="1" applyBorder="1" applyAlignment="1" applyProtection="1">
      <alignment horizontal="center" vertical="top" wrapText="1"/>
      <protection/>
    </xf>
    <xf numFmtId="0" fontId="7" fillId="2" borderId="56" xfId="0" applyNumberFormat="1" applyFont="1" applyFill="1" applyBorder="1" applyAlignment="1" applyProtection="1">
      <alignment horizontal="center" vertical="top" wrapText="1"/>
      <protection/>
    </xf>
    <xf numFmtId="0" fontId="7" fillId="2" borderId="42" xfId="0" applyNumberFormat="1" applyFont="1" applyFill="1" applyBorder="1" applyAlignment="1" applyProtection="1">
      <alignment horizontal="center" vertical="top" wrapText="1"/>
      <protection/>
    </xf>
    <xf numFmtId="0" fontId="7" fillId="2" borderId="57" xfId="0" applyNumberFormat="1" applyFont="1" applyFill="1" applyBorder="1" applyAlignment="1" applyProtection="1">
      <alignment horizontal="center" vertical="top" wrapText="1"/>
      <protection/>
    </xf>
    <xf numFmtId="0" fontId="7" fillId="2" borderId="0" xfId="0" applyNumberFormat="1" applyFont="1" applyFill="1" applyBorder="1" applyAlignment="1" applyProtection="1">
      <alignment horizontal="center" vertical="top" wrapText="1"/>
      <protection/>
    </xf>
    <xf numFmtId="0" fontId="7" fillId="2" borderId="33" xfId="0" applyNumberFormat="1" applyFont="1" applyFill="1" applyBorder="1" applyAlignment="1" applyProtection="1">
      <alignment horizontal="center" vertical="top" wrapText="1"/>
      <protection/>
    </xf>
    <xf numFmtId="0" fontId="7" fillId="2" borderId="51" xfId="0" applyNumberFormat="1" applyFont="1" applyFill="1" applyBorder="1" applyAlignment="1" applyProtection="1">
      <alignment horizontal="center" vertical="top" wrapText="1"/>
      <protection/>
    </xf>
    <xf numFmtId="0" fontId="7" fillId="2" borderId="34" xfId="0" applyNumberFormat="1" applyFont="1" applyFill="1" applyBorder="1" applyAlignment="1" applyProtection="1">
      <alignment horizontal="center" vertical="top" wrapText="1"/>
      <protection/>
    </xf>
    <xf numFmtId="0" fontId="7" fillId="2" borderId="52" xfId="0" applyNumberFormat="1" applyFont="1" applyFill="1" applyBorder="1" applyAlignment="1" applyProtection="1">
      <alignment horizontal="center" vertical="top" wrapText="1"/>
      <protection/>
    </xf>
    <xf numFmtId="0" fontId="27" fillId="0" borderId="34" xfId="0" applyNumberFormat="1" applyFont="1" applyFill="1" applyBorder="1" applyAlignment="1" applyProtection="1">
      <alignment horizontal="center"/>
      <protection/>
    </xf>
    <xf numFmtId="0" fontId="44" fillId="0" borderId="102" xfId="0" applyFont="1" applyBorder="1" applyAlignment="1">
      <alignment horizontal="left"/>
    </xf>
    <xf numFmtId="0" fontId="58" fillId="0" borderId="0" xfId="0" applyFont="1" applyAlignment="1">
      <alignment horizontal="center"/>
    </xf>
    <xf numFmtId="0" fontId="60" fillId="2" borderId="30" xfId="0" applyFont="1" applyFill="1" applyBorder="1" applyAlignment="1">
      <alignment horizontal="left"/>
    </xf>
    <xf numFmtId="0" fontId="60" fillId="2" borderId="31" xfId="0" applyFont="1" applyFill="1" applyBorder="1" applyAlignment="1">
      <alignment horizontal="left"/>
    </xf>
    <xf numFmtId="0" fontId="60" fillId="2" borderId="32" xfId="0" applyFont="1" applyFill="1" applyBorder="1" applyAlignment="1">
      <alignment horizontal="left"/>
    </xf>
    <xf numFmtId="0" fontId="54" fillId="0" borderId="0" xfId="21" applyFont="1" applyAlignment="1">
      <alignment horizontal="left" vertical="top" wrapText="1"/>
      <protection/>
    </xf>
    <xf numFmtId="0" fontId="55" fillId="2" borderId="41" xfId="0" applyNumberFormat="1" applyFont="1" applyFill="1" applyBorder="1" applyAlignment="1" applyProtection="1">
      <alignment horizontal="center" vertical="center"/>
      <protection/>
    </xf>
    <xf numFmtId="0" fontId="55" fillId="2" borderId="56" xfId="0" applyNumberFormat="1" applyFont="1" applyFill="1" applyBorder="1" applyAlignment="1" applyProtection="1">
      <alignment horizontal="center" vertical="center"/>
      <protection/>
    </xf>
    <xf numFmtId="0" fontId="55" fillId="2" borderId="42" xfId="0" applyNumberFormat="1" applyFont="1" applyFill="1" applyBorder="1" applyAlignment="1" applyProtection="1">
      <alignment horizontal="center" vertical="center"/>
      <protection/>
    </xf>
    <xf numFmtId="0" fontId="55" fillId="2" borderId="57" xfId="0" applyNumberFormat="1" applyFont="1" applyFill="1" applyBorder="1" applyAlignment="1" applyProtection="1">
      <alignment horizontal="center" vertical="center"/>
      <protection/>
    </xf>
    <xf numFmtId="0" fontId="55" fillId="2" borderId="0" xfId="0" applyNumberFormat="1" applyFont="1" applyFill="1" applyBorder="1" applyAlignment="1" applyProtection="1">
      <alignment horizontal="center" vertical="center"/>
      <protection/>
    </xf>
    <xf numFmtId="0" fontId="55" fillId="2" borderId="33" xfId="0" applyNumberFormat="1" applyFont="1" applyFill="1" applyBorder="1" applyAlignment="1" applyProtection="1">
      <alignment horizontal="center" vertical="center"/>
      <protection/>
    </xf>
    <xf numFmtId="0" fontId="55" fillId="2" borderId="51" xfId="0" applyNumberFormat="1" applyFont="1" applyFill="1" applyBorder="1" applyAlignment="1" applyProtection="1">
      <alignment horizontal="center" vertical="center"/>
      <protection/>
    </xf>
    <xf numFmtId="0" fontId="55" fillId="2" borderId="34" xfId="0" applyNumberFormat="1" applyFont="1" applyFill="1" applyBorder="1" applyAlignment="1" applyProtection="1">
      <alignment horizontal="center" vertical="center"/>
      <protection/>
    </xf>
    <xf numFmtId="0" fontId="55" fillId="2" borderId="52" xfId="0" applyNumberFormat="1" applyFont="1" applyFill="1" applyBorder="1" applyAlignment="1" applyProtection="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d20SpellsShor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133350</xdr:colOff>
      <xdr:row>0</xdr:row>
      <xdr:rowOff>95250</xdr:rowOff>
    </xdr:from>
    <xdr:to>
      <xdr:col>37</xdr:col>
      <xdr:colOff>133350</xdr:colOff>
      <xdr:row>4</xdr:row>
      <xdr:rowOff>38100</xdr:rowOff>
    </xdr:to>
    <xdr:pic>
      <xdr:nvPicPr>
        <xdr:cNvPr id="1" name="Picture 5"/>
        <xdr:cNvPicPr preferRelativeResize="1">
          <a:picLocks noChangeAspect="1"/>
        </xdr:cNvPicPr>
      </xdr:nvPicPr>
      <xdr:blipFill>
        <a:blip r:embed="rId1"/>
        <a:stretch>
          <a:fillRect/>
        </a:stretch>
      </xdr:blipFill>
      <xdr:spPr>
        <a:xfrm>
          <a:off x="4591050" y="95250"/>
          <a:ext cx="1885950" cy="552450"/>
        </a:xfrm>
        <a:prstGeom prst="rect">
          <a:avLst/>
        </a:prstGeom>
        <a:noFill/>
        <a:ln w="1" cmpd="sng">
          <a:noFill/>
        </a:ln>
      </xdr:spPr>
    </xdr:pic>
    <xdr:clientData/>
  </xdr:twoCellAnchor>
  <xdr:twoCellAnchor editAs="oneCell">
    <xdr:from>
      <xdr:col>0</xdr:col>
      <xdr:colOff>66675</xdr:colOff>
      <xdr:row>20</xdr:row>
      <xdr:rowOff>104775</xdr:rowOff>
    </xdr:from>
    <xdr:to>
      <xdr:col>4</xdr:col>
      <xdr:colOff>152400</xdr:colOff>
      <xdr:row>25</xdr:row>
      <xdr:rowOff>104775</xdr:rowOff>
    </xdr:to>
    <xdr:pic>
      <xdr:nvPicPr>
        <xdr:cNvPr id="2" name="Picture 7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6675" y="3152775"/>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7"/>
  </sheetPr>
  <dimension ref="B2:M25"/>
  <sheetViews>
    <sheetView showGridLines="0" tabSelected="1" workbookViewId="0" topLeftCell="A1">
      <selection activeCell="D2" sqref="D2"/>
    </sheetView>
  </sheetViews>
  <sheetFormatPr defaultColWidth="9.140625" defaultRowHeight="12.75"/>
  <cols>
    <col min="1" max="1" width="5.140625" style="42" customWidth="1"/>
    <col min="2" max="2" width="110.57421875" style="86" customWidth="1"/>
    <col min="3" max="3" width="5.7109375" style="42" customWidth="1"/>
    <col min="4" max="16384" width="9.140625" style="42" customWidth="1"/>
  </cols>
  <sheetData>
    <row r="2" spans="2:13" ht="51">
      <c r="B2" s="80" t="s">
        <v>997</v>
      </c>
      <c r="C2" s="43"/>
      <c r="D2" s="43"/>
      <c r="E2" s="43"/>
      <c r="F2" s="43"/>
      <c r="G2" s="43"/>
      <c r="H2" s="43"/>
      <c r="I2" s="43"/>
      <c r="J2" s="43"/>
      <c r="K2" s="43"/>
      <c r="L2" s="43"/>
      <c r="M2" s="43"/>
    </row>
    <row r="3" spans="2:13" ht="12.75">
      <c r="B3" s="80"/>
      <c r="C3" s="43"/>
      <c r="D3" s="43"/>
      <c r="E3" s="43"/>
      <c r="F3" s="43"/>
      <c r="G3" s="43"/>
      <c r="H3" s="43"/>
      <c r="I3" s="43"/>
      <c r="J3" s="43"/>
      <c r="K3" s="43"/>
      <c r="L3" s="43"/>
      <c r="M3" s="43"/>
    </row>
    <row r="4" spans="2:13" ht="38.25">
      <c r="B4" s="81" t="s">
        <v>998</v>
      </c>
      <c r="C4" s="43"/>
      <c r="D4" s="43"/>
      <c r="E4" s="43"/>
      <c r="F4" s="43"/>
      <c r="G4" s="43"/>
      <c r="H4" s="43"/>
      <c r="I4" s="43"/>
      <c r="J4" s="43"/>
      <c r="K4" s="43"/>
      <c r="L4" s="43"/>
      <c r="M4" s="43"/>
    </row>
    <row r="5" spans="2:13" ht="12.75">
      <c r="B5" s="80"/>
      <c r="C5" s="43"/>
      <c r="D5" s="43"/>
      <c r="E5" s="43"/>
      <c r="F5" s="43"/>
      <c r="G5" s="43"/>
      <c r="H5" s="43"/>
      <c r="I5" s="43"/>
      <c r="J5" s="43"/>
      <c r="K5" s="43"/>
      <c r="L5" s="43"/>
      <c r="M5" s="43"/>
    </row>
    <row r="6" spans="2:13" ht="38.25">
      <c r="B6" s="81" t="s">
        <v>999</v>
      </c>
      <c r="C6" s="43"/>
      <c r="D6" s="43"/>
      <c r="E6" s="43"/>
      <c r="F6" s="43"/>
      <c r="G6" s="43"/>
      <c r="H6" s="43"/>
      <c r="I6" s="43"/>
      <c r="J6" s="43"/>
      <c r="K6" s="43"/>
      <c r="L6" s="43"/>
      <c r="M6" s="43"/>
    </row>
    <row r="7" spans="2:13" ht="12.75">
      <c r="B7" s="81"/>
      <c r="C7" s="43"/>
      <c r="D7" s="43"/>
      <c r="E7" s="43"/>
      <c r="F7" s="43"/>
      <c r="G7" s="43"/>
      <c r="H7" s="43"/>
      <c r="I7" s="43"/>
      <c r="J7" s="43"/>
      <c r="K7" s="43"/>
      <c r="L7" s="43"/>
      <c r="M7" s="43"/>
    </row>
    <row r="8" spans="2:13" ht="38.25">
      <c r="B8" s="82" t="s">
        <v>938</v>
      </c>
      <c r="C8" s="43"/>
      <c r="D8" s="43"/>
      <c r="E8" s="43"/>
      <c r="F8" s="43"/>
      <c r="G8" s="43"/>
      <c r="H8" s="43"/>
      <c r="I8" s="43"/>
      <c r="J8" s="43"/>
      <c r="K8" s="43"/>
      <c r="L8" s="43"/>
      <c r="M8" s="43"/>
    </row>
    <row r="9" spans="2:13" ht="12.75">
      <c r="B9" s="80"/>
      <c r="C9" s="43"/>
      <c r="D9" s="43"/>
      <c r="E9" s="43"/>
      <c r="F9" s="43"/>
      <c r="G9" s="43"/>
      <c r="H9" s="43"/>
      <c r="I9" s="43"/>
      <c r="J9" s="43"/>
      <c r="K9" s="43"/>
      <c r="L9" s="43"/>
      <c r="M9" s="43"/>
    </row>
    <row r="10" spans="2:13" ht="38.25">
      <c r="B10" s="81" t="s">
        <v>1000</v>
      </c>
      <c r="C10" s="43"/>
      <c r="D10" s="43"/>
      <c r="E10" s="43"/>
      <c r="F10" s="43"/>
      <c r="G10" s="43"/>
      <c r="H10" s="43"/>
      <c r="I10" s="43"/>
      <c r="J10" s="43"/>
      <c r="K10" s="43"/>
      <c r="L10" s="43"/>
      <c r="M10" s="43"/>
    </row>
    <row r="11" spans="2:13" ht="12.75">
      <c r="B11" s="80"/>
      <c r="C11" s="43"/>
      <c r="D11" s="43"/>
      <c r="E11" s="43"/>
      <c r="F11" s="43"/>
      <c r="G11" s="43"/>
      <c r="H11" s="43"/>
      <c r="I11" s="43"/>
      <c r="J11" s="43"/>
      <c r="K11" s="43"/>
      <c r="L11" s="43"/>
      <c r="M11" s="43"/>
    </row>
    <row r="12" spans="2:13" ht="12.75">
      <c r="B12" s="83" t="s">
        <v>936</v>
      </c>
      <c r="C12" s="43"/>
      <c r="D12" s="43"/>
      <c r="E12" s="43"/>
      <c r="F12" s="43"/>
      <c r="G12" s="43"/>
      <c r="H12" s="43"/>
      <c r="I12" s="43"/>
      <c r="J12" s="43"/>
      <c r="K12" s="43"/>
      <c r="L12" s="43"/>
      <c r="M12" s="43"/>
    </row>
    <row r="13" spans="2:13" ht="12.75">
      <c r="B13" s="80"/>
      <c r="C13" s="43"/>
      <c r="D13" s="43"/>
      <c r="E13" s="43"/>
      <c r="F13" s="43"/>
      <c r="G13" s="43"/>
      <c r="H13" s="43"/>
      <c r="I13" s="43"/>
      <c r="J13" s="43"/>
      <c r="K13" s="43"/>
      <c r="L13" s="43"/>
      <c r="M13" s="43"/>
    </row>
    <row r="14" spans="2:13" ht="25.5">
      <c r="B14" s="83" t="s">
        <v>934</v>
      </c>
      <c r="C14" s="43"/>
      <c r="D14" s="43"/>
      <c r="E14" s="43"/>
      <c r="F14" s="43"/>
      <c r="G14" s="43"/>
      <c r="H14" s="43"/>
      <c r="I14" s="43"/>
      <c r="J14" s="43"/>
      <c r="K14" s="43"/>
      <c r="L14" s="43"/>
      <c r="M14" s="43"/>
    </row>
    <row r="15" spans="2:13" ht="12.75">
      <c r="B15" s="84"/>
      <c r="C15" s="43"/>
      <c r="D15" s="43"/>
      <c r="E15" s="43"/>
      <c r="F15" s="43"/>
      <c r="G15" s="43"/>
      <c r="H15" s="43"/>
      <c r="I15" s="43"/>
      <c r="J15" s="43"/>
      <c r="K15" s="43"/>
      <c r="L15" s="43"/>
      <c r="M15" s="43"/>
    </row>
    <row r="16" spans="2:13" ht="12.75">
      <c r="B16" s="85"/>
      <c r="C16" s="43"/>
      <c r="D16" s="43"/>
      <c r="E16" s="43"/>
      <c r="F16" s="43"/>
      <c r="G16" s="43"/>
      <c r="H16" s="43"/>
      <c r="I16" s="43"/>
      <c r="J16" s="43"/>
      <c r="K16" s="43"/>
      <c r="L16" s="43"/>
      <c r="M16" s="43"/>
    </row>
    <row r="17" spans="2:13" ht="12.75">
      <c r="B17" s="85"/>
      <c r="C17" s="43"/>
      <c r="D17" s="43"/>
      <c r="E17" s="43"/>
      <c r="F17" s="43"/>
      <c r="G17" s="43"/>
      <c r="H17" s="43"/>
      <c r="I17" s="43"/>
      <c r="J17" s="43"/>
      <c r="K17" s="43"/>
      <c r="L17" s="43"/>
      <c r="M17" s="43"/>
    </row>
    <row r="18" spans="2:13" ht="12.75">
      <c r="B18" s="85"/>
      <c r="C18" s="43"/>
      <c r="D18" s="43"/>
      <c r="E18" s="43"/>
      <c r="F18" s="43"/>
      <c r="G18" s="43"/>
      <c r="H18" s="43"/>
      <c r="I18" s="43"/>
      <c r="J18" s="43"/>
      <c r="K18" s="43"/>
      <c r="L18" s="43"/>
      <c r="M18" s="43"/>
    </row>
    <row r="19" spans="2:13" ht="12.75">
      <c r="B19" s="85"/>
      <c r="C19" s="43"/>
      <c r="D19" s="43"/>
      <c r="E19" s="43"/>
      <c r="F19" s="43"/>
      <c r="G19" s="43"/>
      <c r="H19" s="43"/>
      <c r="I19" s="43"/>
      <c r="J19" s="43"/>
      <c r="K19" s="43"/>
      <c r="L19" s="43"/>
      <c r="M19" s="43"/>
    </row>
    <row r="20" spans="2:13" ht="12.75">
      <c r="B20" s="85"/>
      <c r="C20" s="43"/>
      <c r="D20" s="43"/>
      <c r="E20" s="43"/>
      <c r="F20" s="43"/>
      <c r="G20" s="43"/>
      <c r="H20" s="43"/>
      <c r="I20" s="43"/>
      <c r="J20" s="43"/>
      <c r="K20" s="43"/>
      <c r="L20" s="43"/>
      <c r="M20" s="43"/>
    </row>
    <row r="21" spans="2:13" ht="12.75">
      <c r="B21" s="85"/>
      <c r="C21" s="43"/>
      <c r="D21" s="43"/>
      <c r="E21" s="43"/>
      <c r="F21" s="43"/>
      <c r="G21" s="43"/>
      <c r="H21" s="43"/>
      <c r="I21" s="43"/>
      <c r="J21" s="43"/>
      <c r="K21" s="43"/>
      <c r="L21" s="43"/>
      <c r="M21" s="43"/>
    </row>
    <row r="22" spans="2:13" ht="12.75">
      <c r="B22" s="85"/>
      <c r="C22" s="43"/>
      <c r="D22" s="43"/>
      <c r="E22" s="43"/>
      <c r="F22" s="43"/>
      <c r="G22" s="43"/>
      <c r="H22" s="43"/>
      <c r="I22" s="43"/>
      <c r="J22" s="43"/>
      <c r="K22" s="43"/>
      <c r="L22" s="43"/>
      <c r="M22" s="43"/>
    </row>
    <row r="23" spans="2:13" ht="12.75">
      <c r="B23" s="85"/>
      <c r="C23" s="43"/>
      <c r="D23" s="43"/>
      <c r="E23" s="43"/>
      <c r="F23" s="43"/>
      <c r="G23" s="43"/>
      <c r="H23" s="43"/>
      <c r="I23" s="43"/>
      <c r="J23" s="43"/>
      <c r="K23" s="43"/>
      <c r="L23" s="43"/>
      <c r="M23" s="43"/>
    </row>
    <row r="24" spans="2:13" ht="12.75">
      <c r="B24" s="85"/>
      <c r="C24" s="43"/>
      <c r="D24" s="43"/>
      <c r="E24" s="43"/>
      <c r="F24" s="43"/>
      <c r="G24" s="43"/>
      <c r="H24" s="43"/>
      <c r="I24" s="43"/>
      <c r="J24" s="43"/>
      <c r="K24" s="43"/>
      <c r="L24" s="43"/>
      <c r="M24" s="43"/>
    </row>
    <row r="25" spans="2:13" ht="12.75">
      <c r="B25" s="85"/>
      <c r="C25" s="43"/>
      <c r="D25" s="43"/>
      <c r="E25" s="43"/>
      <c r="F25" s="43"/>
      <c r="G25" s="43"/>
      <c r="H25" s="43"/>
      <c r="I25" s="43"/>
      <c r="J25" s="43"/>
      <c r="K25" s="43"/>
      <c r="L25" s="43"/>
      <c r="M25" s="43"/>
    </row>
  </sheetData>
  <sheetProtection selectLockedCells="1"/>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sheetPr>
  <dimension ref="A1:AX62"/>
  <sheetViews>
    <sheetView showGridLines="0" workbookViewId="0" topLeftCell="A1">
      <selection activeCell="F2" sqref="F2:R2"/>
    </sheetView>
  </sheetViews>
  <sheetFormatPr defaultColWidth="9.140625" defaultRowHeight="12" customHeight="1"/>
  <cols>
    <col min="1" max="38" width="2.57421875" style="3" customWidth="1"/>
    <col min="39" max="39" width="4.140625" style="3" customWidth="1"/>
    <col min="40" max="40" width="10.140625" style="3" customWidth="1"/>
    <col min="41" max="41" width="3.8515625" style="3" customWidth="1"/>
    <col min="42" max="42" width="7.00390625" style="3" customWidth="1"/>
    <col min="43" max="43" width="19.7109375" style="3" customWidth="1"/>
    <col min="44" max="44" width="4.140625" style="3" customWidth="1"/>
    <col min="45" max="45" width="4.28125" style="3" customWidth="1"/>
    <col min="46" max="16384" width="2.57421875" style="3" customWidth="1"/>
  </cols>
  <sheetData>
    <row r="1" spans="1:25" ht="12" customHeight="1">
      <c r="A1" s="435" t="s">
        <v>719</v>
      </c>
      <c r="B1" s="435"/>
      <c r="C1" s="435"/>
      <c r="D1" s="435"/>
      <c r="E1" s="435"/>
      <c r="F1" s="435"/>
      <c r="G1" s="435"/>
      <c r="H1" s="435"/>
      <c r="I1" s="435"/>
      <c r="J1" s="435"/>
      <c r="K1" s="435"/>
      <c r="L1" s="435"/>
      <c r="M1" s="15"/>
      <c r="N1" s="15"/>
      <c r="O1" s="15"/>
      <c r="P1" s="15"/>
      <c r="Q1" s="15"/>
      <c r="R1" s="15"/>
      <c r="S1" s="15"/>
      <c r="T1" s="15"/>
      <c r="U1" s="15"/>
      <c r="V1" s="15"/>
      <c r="W1" s="15"/>
      <c r="X1" s="15"/>
      <c r="Y1" s="15"/>
    </row>
    <row r="2" spans="1:28" ht="12" customHeight="1">
      <c r="A2" s="15" t="s">
        <v>969</v>
      </c>
      <c r="B2" s="15"/>
      <c r="C2" s="15"/>
      <c r="D2" s="15"/>
      <c r="E2" s="89"/>
      <c r="F2" s="197"/>
      <c r="G2" s="197"/>
      <c r="H2" s="197"/>
      <c r="I2" s="197"/>
      <c r="J2" s="197"/>
      <c r="K2" s="197"/>
      <c r="L2" s="197"/>
      <c r="M2" s="197"/>
      <c r="N2" s="197"/>
      <c r="O2" s="197"/>
      <c r="P2" s="197"/>
      <c r="Q2" s="197"/>
      <c r="R2" s="197"/>
      <c r="S2" s="198" t="s">
        <v>953</v>
      </c>
      <c r="T2" s="198"/>
      <c r="U2" s="198"/>
      <c r="V2" s="194" t="s">
        <v>758</v>
      </c>
      <c r="W2" s="194"/>
      <c r="X2" s="194"/>
      <c r="Y2" s="194"/>
      <c r="Z2" s="194"/>
      <c r="AA2" s="60"/>
      <c r="AB2" s="60"/>
    </row>
    <row r="3" spans="1:35" ht="12" customHeight="1">
      <c r="A3" s="91" t="s">
        <v>613</v>
      </c>
      <c r="B3" s="91"/>
      <c r="C3" s="91"/>
      <c r="D3" s="15"/>
      <c r="E3" s="57"/>
      <c r="F3" s="196"/>
      <c r="G3" s="196"/>
      <c r="H3" s="196"/>
      <c r="I3" s="196"/>
      <c r="J3" s="196"/>
      <c r="K3" s="196"/>
      <c r="L3" s="196"/>
      <c r="M3" s="196"/>
      <c r="N3" s="196"/>
      <c r="O3" s="196"/>
      <c r="P3" s="196"/>
      <c r="Q3" s="196"/>
      <c r="R3" s="196"/>
      <c r="S3" s="198" t="s">
        <v>952</v>
      </c>
      <c r="T3" s="198"/>
      <c r="U3" s="198"/>
      <c r="V3" s="196"/>
      <c r="W3" s="196"/>
      <c r="X3" s="196"/>
      <c r="Y3" s="196"/>
      <c r="Z3" s="196"/>
      <c r="AH3" s="2"/>
      <c r="AI3" s="6"/>
    </row>
    <row r="4" spans="1:34" ht="12" customHeight="1">
      <c r="A4" s="91" t="s">
        <v>712</v>
      </c>
      <c r="B4" s="91"/>
      <c r="C4" s="91"/>
      <c r="D4" s="194"/>
      <c r="E4" s="194"/>
      <c r="F4" s="90"/>
      <c r="G4" s="90" t="s">
        <v>615</v>
      </c>
      <c r="H4" s="196"/>
      <c r="I4" s="196"/>
      <c r="J4" s="90"/>
      <c r="K4" s="90" t="s">
        <v>616</v>
      </c>
      <c r="L4" s="438"/>
      <c r="M4" s="438"/>
      <c r="N4" s="15"/>
      <c r="O4" s="90" t="s">
        <v>617</v>
      </c>
      <c r="P4" s="196"/>
      <c r="Q4" s="196"/>
      <c r="R4" s="15"/>
      <c r="S4" s="90" t="s">
        <v>618</v>
      </c>
      <c r="T4" s="192"/>
      <c r="U4" s="192"/>
      <c r="V4" s="15"/>
      <c r="W4" s="90" t="s">
        <v>687</v>
      </c>
      <c r="X4" s="193" t="str">
        <f>VLOOKUP(V2,Data!N3:O40,2,FALSE)</f>
        <v>Medium</v>
      </c>
      <c r="Y4" s="193"/>
      <c r="Z4" s="193"/>
      <c r="AG4" s="2"/>
      <c r="AH4" s="6"/>
    </row>
    <row r="5" spans="1:38" ht="12" customHeight="1">
      <c r="A5" s="15" t="s">
        <v>614</v>
      </c>
      <c r="B5" s="15"/>
      <c r="C5" s="15"/>
      <c r="D5" s="194"/>
      <c r="E5" s="194"/>
      <c r="F5" s="194"/>
      <c r="G5" s="194"/>
      <c r="H5" s="194"/>
      <c r="I5" s="194"/>
      <c r="J5" s="194"/>
      <c r="K5" s="194"/>
      <c r="L5" s="194"/>
      <c r="M5" s="194"/>
      <c r="N5" s="194"/>
      <c r="O5" s="198" t="s">
        <v>695</v>
      </c>
      <c r="P5" s="198"/>
      <c r="Q5" s="199"/>
      <c r="R5" s="199"/>
      <c r="S5" s="199"/>
      <c r="T5" s="199"/>
      <c r="U5" s="195" t="s">
        <v>951</v>
      </c>
      <c r="V5" s="195"/>
      <c r="W5" s="200"/>
      <c r="X5" s="200"/>
      <c r="Y5" s="200"/>
      <c r="Z5" s="200"/>
      <c r="AA5" s="201" t="s">
        <v>973</v>
      </c>
      <c r="AB5" s="201"/>
      <c r="AC5" s="201"/>
      <c r="AD5" s="201"/>
      <c r="AE5" s="201"/>
      <c r="AF5" s="201"/>
      <c r="AG5" s="201"/>
      <c r="AH5" s="201"/>
      <c r="AI5" s="201"/>
      <c r="AJ5" s="201"/>
      <c r="AK5" s="201"/>
      <c r="AL5" s="201"/>
    </row>
    <row r="7" spans="1:39" ht="12" customHeight="1">
      <c r="A7" s="264" t="s">
        <v>715</v>
      </c>
      <c r="B7" s="264"/>
      <c r="C7" s="264"/>
      <c r="D7" s="264"/>
      <c r="E7" s="264"/>
      <c r="F7" s="264"/>
      <c r="G7" s="264"/>
      <c r="H7" s="264"/>
      <c r="I7" s="264"/>
      <c r="J7" s="264"/>
      <c r="K7" s="48"/>
      <c r="L7" s="264" t="s">
        <v>716</v>
      </c>
      <c r="M7" s="314"/>
      <c r="N7" s="314"/>
      <c r="O7" s="314"/>
      <c r="P7" s="314"/>
      <c r="Q7" s="314"/>
      <c r="R7" s="264" t="s">
        <v>717</v>
      </c>
      <c r="S7" s="314"/>
      <c r="T7" s="46"/>
      <c r="U7" s="439" t="s">
        <v>718</v>
      </c>
      <c r="V7" s="439"/>
      <c r="W7" s="439"/>
      <c r="X7" s="439"/>
      <c r="Y7" s="439"/>
      <c r="Z7" s="439"/>
      <c r="AA7" s="439"/>
      <c r="AB7" s="439"/>
      <c r="AC7" s="439"/>
      <c r="AD7" s="439"/>
      <c r="AE7" s="439"/>
      <c r="AF7" s="439"/>
      <c r="AG7" s="439"/>
      <c r="AH7" s="264" t="s">
        <v>963</v>
      </c>
      <c r="AI7" s="297"/>
      <c r="AJ7" s="297"/>
      <c r="AK7" s="297"/>
      <c r="AL7" s="297"/>
      <c r="AM7" s="61"/>
    </row>
    <row r="8" spans="1:39" ht="12" customHeight="1" thickBot="1">
      <c r="A8" s="240"/>
      <c r="B8" s="283"/>
      <c r="C8" s="284" t="s">
        <v>688</v>
      </c>
      <c r="D8" s="273"/>
      <c r="E8" s="282" t="s">
        <v>626</v>
      </c>
      <c r="F8" s="282"/>
      <c r="G8" s="282" t="s">
        <v>689</v>
      </c>
      <c r="H8" s="283"/>
      <c r="I8" s="282" t="s">
        <v>626</v>
      </c>
      <c r="J8" s="360"/>
      <c r="L8" s="13" t="s">
        <v>701</v>
      </c>
      <c r="M8" s="383"/>
      <c r="N8" s="196"/>
      <c r="O8" s="196"/>
      <c r="P8" s="196"/>
      <c r="Q8" s="384"/>
      <c r="R8" s="315"/>
      <c r="S8" s="316"/>
      <c r="T8" s="1"/>
      <c r="U8" s="436" t="s">
        <v>708</v>
      </c>
      <c r="V8" s="437"/>
      <c r="W8" s="437"/>
      <c r="X8" s="437"/>
      <c r="Y8" s="437"/>
      <c r="Z8" s="284" t="s">
        <v>635</v>
      </c>
      <c r="AA8" s="284"/>
      <c r="AB8" s="282" t="s">
        <v>696</v>
      </c>
      <c r="AC8" s="282"/>
      <c r="AD8" s="282" t="s">
        <v>714</v>
      </c>
      <c r="AE8" s="282"/>
      <c r="AF8" s="282" t="s">
        <v>637</v>
      </c>
      <c r="AG8" s="309"/>
      <c r="AH8" s="307" t="s">
        <v>694</v>
      </c>
      <c r="AI8" s="308"/>
      <c r="AJ8" s="308"/>
      <c r="AK8" s="302">
        <f>IF(G10=0,E10,I10)</f>
        <v>0</v>
      </c>
      <c r="AL8" s="303"/>
      <c r="AM8" s="62"/>
    </row>
    <row r="9" spans="1:39" ht="12" customHeight="1">
      <c r="A9" s="272" t="s">
        <v>619</v>
      </c>
      <c r="B9" s="273"/>
      <c r="C9" s="276">
        <v>10</v>
      </c>
      <c r="D9" s="277"/>
      <c r="E9" s="285">
        <f>IF(C9=0,"",IF(C9=0,0,ROUNDDOWN((C9*0.5),0)-5))</f>
        <v>0</v>
      </c>
      <c r="F9" s="286"/>
      <c r="G9" s="357"/>
      <c r="H9" s="358"/>
      <c r="I9" s="287">
        <f aca="true" t="shared" si="0" ref="I9:I14">IF(G9=0,"",IF((G9*0.5)=0,0,ROUNDDOWN((G9*0.5),0)-5))</f>
      </c>
      <c r="J9" s="288"/>
      <c r="L9" s="13" t="s">
        <v>702</v>
      </c>
      <c r="M9" s="383"/>
      <c r="N9" s="196"/>
      <c r="O9" s="196"/>
      <c r="P9" s="196"/>
      <c r="Q9" s="384"/>
      <c r="R9" s="315"/>
      <c r="S9" s="316"/>
      <c r="T9" s="5"/>
      <c r="U9" s="387" t="s">
        <v>709</v>
      </c>
      <c r="V9" s="388"/>
      <c r="W9" s="388"/>
      <c r="X9" s="301" t="s">
        <v>632</v>
      </c>
      <c r="Y9" s="301"/>
      <c r="Z9" s="304">
        <f>AB9+AD9+AF9</f>
        <v>0</v>
      </c>
      <c r="AA9" s="305"/>
      <c r="AB9" s="289"/>
      <c r="AC9" s="289"/>
      <c r="AD9" s="306">
        <f>IF(G11=0,E11,I11)</f>
        <v>0</v>
      </c>
      <c r="AE9" s="286"/>
      <c r="AF9" s="289"/>
      <c r="AG9" s="290"/>
      <c r="AH9" s="300" t="s">
        <v>691</v>
      </c>
      <c r="AI9" s="301"/>
      <c r="AJ9" s="301"/>
      <c r="AK9" s="295">
        <f>IF(G9=0,Data!J15,Data!J16)</f>
        <v>100</v>
      </c>
      <c r="AL9" s="296"/>
      <c r="AM9" s="21"/>
    </row>
    <row r="10" spans="1:39" ht="12" customHeight="1">
      <c r="A10" s="270" t="s">
        <v>620</v>
      </c>
      <c r="B10" s="271"/>
      <c r="C10" s="274">
        <v>10</v>
      </c>
      <c r="D10" s="275"/>
      <c r="E10" s="278">
        <f>IF(C10=0,"",IF((C10*0.5)=0,0,ROUNDDOWN((C10*0.5),0)-5))</f>
        <v>0</v>
      </c>
      <c r="F10" s="279"/>
      <c r="G10" s="280"/>
      <c r="H10" s="281"/>
      <c r="I10" s="260">
        <f t="shared" si="0"/>
      </c>
      <c r="J10" s="279"/>
      <c r="L10" s="13" t="s">
        <v>703</v>
      </c>
      <c r="M10" s="383"/>
      <c r="N10" s="196"/>
      <c r="O10" s="196"/>
      <c r="P10" s="196"/>
      <c r="Q10" s="384"/>
      <c r="R10" s="315"/>
      <c r="S10" s="316"/>
      <c r="T10" s="5"/>
      <c r="U10" s="385" t="s">
        <v>731</v>
      </c>
      <c r="V10" s="386"/>
      <c r="W10" s="386"/>
      <c r="X10" s="317" t="s">
        <v>633</v>
      </c>
      <c r="Y10" s="317"/>
      <c r="Z10" s="310">
        <f>AB10+AD10+AF10</f>
        <v>0</v>
      </c>
      <c r="AA10" s="311"/>
      <c r="AB10" s="291"/>
      <c r="AC10" s="291"/>
      <c r="AD10" s="260">
        <f>IF(G10=0,E10,I10)</f>
        <v>0</v>
      </c>
      <c r="AE10" s="279"/>
      <c r="AF10" s="291"/>
      <c r="AG10" s="294"/>
      <c r="AH10" s="300" t="s">
        <v>692</v>
      </c>
      <c r="AI10" s="301"/>
      <c r="AJ10" s="301"/>
      <c r="AK10" s="295">
        <f>AK9*2</f>
        <v>200</v>
      </c>
      <c r="AL10" s="296"/>
      <c r="AM10" s="21"/>
    </row>
    <row r="11" spans="1:39" ht="12" customHeight="1" thickBot="1">
      <c r="A11" s="270" t="s">
        <v>621</v>
      </c>
      <c r="B11" s="271"/>
      <c r="C11" s="274">
        <v>10</v>
      </c>
      <c r="D11" s="275"/>
      <c r="E11" s="278">
        <f>IF(C11=0,"",IF((C11*0.5)=0,0,ROUNDDOWN((C11*0.5),0)-5))</f>
        <v>0</v>
      </c>
      <c r="F11" s="279"/>
      <c r="G11" s="280"/>
      <c r="H11" s="281"/>
      <c r="I11" s="260">
        <f t="shared" si="0"/>
      </c>
      <c r="J11" s="279"/>
      <c r="L11" s="13" t="s">
        <v>704</v>
      </c>
      <c r="M11" s="383"/>
      <c r="N11" s="196"/>
      <c r="O11" s="196"/>
      <c r="P11" s="196"/>
      <c r="Q11" s="384"/>
      <c r="R11" s="315"/>
      <c r="S11" s="316"/>
      <c r="T11" s="5"/>
      <c r="U11" s="387" t="s">
        <v>711</v>
      </c>
      <c r="V11" s="388"/>
      <c r="W11" s="388"/>
      <c r="X11" s="301" t="s">
        <v>634</v>
      </c>
      <c r="Y11" s="301"/>
      <c r="Z11" s="312">
        <f>AB11+AD11+AF11</f>
        <v>0</v>
      </c>
      <c r="AA11" s="313"/>
      <c r="AB11" s="289"/>
      <c r="AC11" s="289"/>
      <c r="AD11" s="292">
        <f>IF(G13=0,E13,I13)</f>
        <v>0</v>
      </c>
      <c r="AE11" s="293"/>
      <c r="AF11" s="289"/>
      <c r="AG11" s="290"/>
      <c r="AH11" s="300" t="s">
        <v>693</v>
      </c>
      <c r="AI11" s="301"/>
      <c r="AJ11" s="301"/>
      <c r="AK11" s="298">
        <f>AK9*5</f>
        <v>500</v>
      </c>
      <c r="AL11" s="299"/>
      <c r="AM11" s="21"/>
    </row>
    <row r="12" spans="1:39" ht="12" customHeight="1">
      <c r="A12" s="270" t="s">
        <v>622</v>
      </c>
      <c r="B12" s="271"/>
      <c r="C12" s="274">
        <v>10</v>
      </c>
      <c r="D12" s="275"/>
      <c r="E12" s="278">
        <f>IF(C12=0,"",IF((C12*0.5)=0,0,ROUNDDOWN((C12*0.5),0)-5))</f>
        <v>0</v>
      </c>
      <c r="F12" s="279"/>
      <c r="G12" s="280"/>
      <c r="H12" s="281"/>
      <c r="I12" s="260">
        <f t="shared" si="0"/>
      </c>
      <c r="J12" s="279"/>
      <c r="L12" s="13" t="s">
        <v>705</v>
      </c>
      <c r="M12" s="383"/>
      <c r="N12" s="196"/>
      <c r="O12" s="196"/>
      <c r="P12" s="196"/>
      <c r="Q12" s="384"/>
      <c r="R12" s="315"/>
      <c r="S12" s="316"/>
      <c r="T12" s="1"/>
      <c r="U12" s="354" t="s">
        <v>710</v>
      </c>
      <c r="V12" s="282"/>
      <c r="W12" s="282"/>
      <c r="X12" s="282"/>
      <c r="Y12" s="282"/>
      <c r="Z12" s="222"/>
      <c r="AA12" s="222"/>
      <c r="AB12" s="282"/>
      <c r="AC12" s="282"/>
      <c r="AD12" s="282"/>
      <c r="AE12" s="309"/>
      <c r="AF12" s="354" t="s">
        <v>721</v>
      </c>
      <c r="AG12" s="282"/>
      <c r="AH12" s="282"/>
      <c r="AI12" s="309"/>
      <c r="AJ12" s="282" t="s">
        <v>720</v>
      </c>
      <c r="AK12" s="282"/>
      <c r="AL12" s="309"/>
      <c r="AM12" s="6"/>
    </row>
    <row r="13" spans="1:39" ht="12" customHeight="1">
      <c r="A13" s="270" t="s">
        <v>623</v>
      </c>
      <c r="B13" s="271"/>
      <c r="C13" s="274">
        <v>10</v>
      </c>
      <c r="D13" s="275"/>
      <c r="E13" s="278">
        <f>IF(C13=0,"",IF((C13*0.5)=0,0,ROUNDDOWN((C13*0.5),0)-5))</f>
        <v>0</v>
      </c>
      <c r="F13" s="279"/>
      <c r="G13" s="280"/>
      <c r="H13" s="281"/>
      <c r="I13" s="260">
        <f t="shared" si="0"/>
      </c>
      <c r="J13" s="279"/>
      <c r="L13" s="12" t="s">
        <v>706</v>
      </c>
      <c r="M13" s="8"/>
      <c r="N13" s="8"/>
      <c r="O13" s="8"/>
      <c r="P13" s="8"/>
      <c r="Q13" s="9"/>
      <c r="R13" s="391">
        <f>VLOOKUP(V2,Data!N3:AC36,16,FALSE)</f>
        <v>0</v>
      </c>
      <c r="S13" s="392"/>
      <c r="T13" s="1"/>
      <c r="U13" s="242"/>
      <c r="V13" s="243"/>
      <c r="W13" s="243"/>
      <c r="X13" s="243"/>
      <c r="Y13" s="243"/>
      <c r="Z13" s="243"/>
      <c r="AA13" s="243"/>
      <c r="AB13" s="243"/>
      <c r="AC13" s="243"/>
      <c r="AD13" s="243"/>
      <c r="AE13" s="244"/>
      <c r="AF13" s="370"/>
      <c r="AG13" s="371"/>
      <c r="AH13" s="371"/>
      <c r="AI13" s="372"/>
      <c r="AJ13" s="379">
        <v>0</v>
      </c>
      <c r="AK13" s="379"/>
      <c r="AL13" s="380"/>
      <c r="AM13" s="63"/>
    </row>
    <row r="14" spans="1:39" ht="12" customHeight="1" thickBot="1">
      <c r="A14" s="187" t="s">
        <v>624</v>
      </c>
      <c r="B14" s="188"/>
      <c r="C14" s="191">
        <v>10</v>
      </c>
      <c r="D14" s="186"/>
      <c r="E14" s="262">
        <f>IF(C14=0,"",IF((C14*0.5)=0,0,ROUNDDOWN((C14*0.5),0)-5))</f>
        <v>0</v>
      </c>
      <c r="F14" s="263"/>
      <c r="G14" s="266"/>
      <c r="H14" s="267"/>
      <c r="I14" s="265">
        <f t="shared" si="0"/>
      </c>
      <c r="J14" s="263"/>
      <c r="L14" s="14" t="s">
        <v>707</v>
      </c>
      <c r="M14" s="10"/>
      <c r="N14" s="10"/>
      <c r="O14" s="10"/>
      <c r="P14" s="10"/>
      <c r="Q14" s="11"/>
      <c r="R14" s="268">
        <f>SUM(R8:S13)</f>
        <v>0</v>
      </c>
      <c r="S14" s="269"/>
      <c r="U14" s="376"/>
      <c r="V14" s="377"/>
      <c r="W14" s="377"/>
      <c r="X14" s="377"/>
      <c r="Y14" s="377"/>
      <c r="Z14" s="377"/>
      <c r="AA14" s="377"/>
      <c r="AB14" s="377"/>
      <c r="AC14" s="377"/>
      <c r="AD14" s="377"/>
      <c r="AE14" s="378"/>
      <c r="AF14" s="373"/>
      <c r="AG14" s="374"/>
      <c r="AH14" s="374"/>
      <c r="AI14" s="375"/>
      <c r="AJ14" s="381"/>
      <c r="AK14" s="381"/>
      <c r="AL14" s="382"/>
      <c r="AM14" s="63"/>
    </row>
    <row r="16" spans="1:39" ht="12" customHeight="1" thickBot="1">
      <c r="A16" s="264" t="s">
        <v>964</v>
      </c>
      <c r="B16" s="264"/>
      <c r="C16" s="264"/>
      <c r="D16" s="264"/>
      <c r="E16" s="264"/>
      <c r="F16" s="264"/>
      <c r="G16" s="264"/>
      <c r="H16" s="264"/>
      <c r="I16" s="264"/>
      <c r="J16" s="264"/>
      <c r="K16" s="264"/>
      <c r="L16" s="264"/>
      <c r="M16" s="264"/>
      <c r="N16" s="264"/>
      <c r="O16" s="264"/>
      <c r="P16" s="264"/>
      <c r="Q16" s="264"/>
      <c r="R16" s="264"/>
      <c r="S16" s="264"/>
      <c r="T16" s="264"/>
      <c r="U16" s="264"/>
      <c r="V16" s="264"/>
      <c r="W16" s="264"/>
      <c r="Y16" s="264" t="s">
        <v>950</v>
      </c>
      <c r="Z16" s="264"/>
      <c r="AA16" s="264"/>
      <c r="AB16" s="264"/>
      <c r="AC16" s="264"/>
      <c r="AD16" s="264"/>
      <c r="AE16" s="264"/>
      <c r="AF16" s="264"/>
      <c r="AG16" s="264"/>
      <c r="AH16" s="264"/>
      <c r="AI16" s="264"/>
      <c r="AJ16" s="264"/>
      <c r="AK16" s="264"/>
      <c r="AL16" s="264"/>
      <c r="AM16" s="7"/>
    </row>
    <row r="17" spans="1:45" ht="12" customHeight="1">
      <c r="A17" s="49"/>
      <c r="B17" s="50"/>
      <c r="C17" s="50"/>
      <c r="D17" s="50"/>
      <c r="E17" s="50"/>
      <c r="F17" s="11" t="s">
        <v>636</v>
      </c>
      <c r="G17" s="11"/>
      <c r="H17" s="50"/>
      <c r="I17" s="50"/>
      <c r="J17" s="282" t="s">
        <v>643</v>
      </c>
      <c r="K17" s="282"/>
      <c r="L17" s="282" t="s">
        <v>629</v>
      </c>
      <c r="M17" s="282"/>
      <c r="N17" s="282" t="s">
        <v>625</v>
      </c>
      <c r="O17" s="282"/>
      <c r="P17" s="282" t="s">
        <v>972</v>
      </c>
      <c r="Q17" s="282"/>
      <c r="R17" s="282" t="s">
        <v>644</v>
      </c>
      <c r="S17" s="282"/>
      <c r="T17" s="282" t="s">
        <v>641</v>
      </c>
      <c r="U17" s="282"/>
      <c r="V17" s="282" t="s">
        <v>631</v>
      </c>
      <c r="W17" s="309"/>
      <c r="X17" s="1"/>
      <c r="Y17" s="354" t="s">
        <v>649</v>
      </c>
      <c r="Z17" s="360"/>
      <c r="AA17" s="354" t="s">
        <v>631</v>
      </c>
      <c r="AB17" s="359"/>
      <c r="AC17" s="354" t="s">
        <v>640</v>
      </c>
      <c r="AD17" s="309"/>
      <c r="AE17" s="354" t="s">
        <v>641</v>
      </c>
      <c r="AF17" s="309"/>
      <c r="AG17" s="354" t="s">
        <v>646</v>
      </c>
      <c r="AH17" s="309"/>
      <c r="AI17" s="354" t="s">
        <v>643</v>
      </c>
      <c r="AJ17" s="369"/>
      <c r="AK17" s="355" t="s">
        <v>987</v>
      </c>
      <c r="AL17" s="356"/>
      <c r="AM17" s="64"/>
      <c r="AR17" s="3" t="s">
        <v>988</v>
      </c>
      <c r="AS17" s="3" t="s">
        <v>989</v>
      </c>
    </row>
    <row r="18" spans="1:46" ht="12" customHeight="1" thickBot="1">
      <c r="A18" s="245"/>
      <c r="B18" s="246"/>
      <c r="C18" s="246"/>
      <c r="D18" s="246"/>
      <c r="E18" s="246"/>
      <c r="F18" s="246"/>
      <c r="G18" s="246"/>
      <c r="H18" s="246"/>
      <c r="I18" s="247"/>
      <c r="J18" s="321"/>
      <c r="K18" s="322"/>
      <c r="L18" s="321"/>
      <c r="M18" s="322"/>
      <c r="N18" s="335"/>
      <c r="O18" s="336"/>
      <c r="P18" s="335"/>
      <c r="Q18" s="336"/>
      <c r="R18" s="389"/>
      <c r="S18" s="390"/>
      <c r="T18" s="338"/>
      <c r="U18" s="339"/>
      <c r="V18" s="329"/>
      <c r="W18" s="330"/>
      <c r="Y18" s="363" t="s">
        <v>645</v>
      </c>
      <c r="Z18" s="364"/>
      <c r="AA18" s="451"/>
      <c r="AB18" s="452"/>
      <c r="AC18" s="447"/>
      <c r="AD18" s="448"/>
      <c r="AE18" s="445" t="s">
        <v>683</v>
      </c>
      <c r="AF18" s="446"/>
      <c r="AG18" s="401" t="s">
        <v>681</v>
      </c>
      <c r="AH18" s="402"/>
      <c r="AI18" s="393">
        <v>30</v>
      </c>
      <c r="AJ18" s="394"/>
      <c r="AK18" s="464">
        <f>MIN(AR18:AR20)</f>
        <v>30</v>
      </c>
      <c r="AL18" s="465"/>
      <c r="AM18" s="65"/>
      <c r="AN18" s="26"/>
      <c r="AR18" s="78">
        <f>IF('Character Sheet p2'!AK27&lt;AA19,AS18," ")</f>
        <v>30</v>
      </c>
      <c r="AS18" s="77">
        <f>IF(OR(V2="dwarf",V2="gold dwarf",V2="Shield Dwarf"),AI18,MIN(J18:K19,AI18))</f>
        <v>30</v>
      </c>
      <c r="AT18" s="3">
        <f>COUNT(AR18)</f>
        <v>1</v>
      </c>
    </row>
    <row r="19" spans="1:46" ht="12" customHeight="1">
      <c r="A19" s="323"/>
      <c r="B19" s="194"/>
      <c r="C19" s="194"/>
      <c r="D19" s="194"/>
      <c r="E19" s="194"/>
      <c r="F19" s="194"/>
      <c r="G19" s="194"/>
      <c r="H19" s="194"/>
      <c r="I19" s="324"/>
      <c r="J19" s="319"/>
      <c r="K19" s="320"/>
      <c r="L19" s="319" t="s">
        <v>1017</v>
      </c>
      <c r="M19" s="320"/>
      <c r="N19" s="361"/>
      <c r="O19" s="362"/>
      <c r="P19" s="361"/>
      <c r="Q19" s="362"/>
      <c r="R19" s="440"/>
      <c r="S19" s="441"/>
      <c r="T19" s="367"/>
      <c r="U19" s="368"/>
      <c r="V19" s="442"/>
      <c r="W19" s="443"/>
      <c r="Y19" s="365" t="s">
        <v>626</v>
      </c>
      <c r="Z19" s="366"/>
      <c r="AA19" s="449">
        <f>size_enc*(ROUNDDOWN((AK9)/3,0)+1)</f>
        <v>34</v>
      </c>
      <c r="AB19" s="450"/>
      <c r="AC19" s="417">
        <v>3</v>
      </c>
      <c r="AD19" s="418"/>
      <c r="AE19" s="417" t="s">
        <v>679</v>
      </c>
      <c r="AF19" s="418"/>
      <c r="AG19" s="413" t="s">
        <v>681</v>
      </c>
      <c r="AH19" s="414"/>
      <c r="AI19" s="459">
        <v>20</v>
      </c>
      <c r="AJ19" s="460"/>
      <c r="AK19" s="466" t="s">
        <v>956</v>
      </c>
      <c r="AL19" s="467"/>
      <c r="AM19" s="65"/>
      <c r="AR19" s="78">
        <f>IF(AND('Character Sheet p2'!AK27&gt;=AA19,'Character Sheet p2'!AK27&lt;AA20),AS19,"")</f>
      </c>
      <c r="AS19" s="77">
        <f>IF(OR(V2="dwarf",V2="gold dwarf",V2="Shield Dwarf"),AI18,MIN(J18:K19,AI19))</f>
        <v>20</v>
      </c>
      <c r="AT19" s="3">
        <f>COUNT(AR19)</f>
        <v>0</v>
      </c>
    </row>
    <row r="20" spans="12:46" ht="12" customHeight="1" thickBot="1">
      <c r="L20" s="3" t="s">
        <v>642</v>
      </c>
      <c r="N20" s="220">
        <f>SUM(N18:O19)</f>
        <v>0</v>
      </c>
      <c r="O20" s="218"/>
      <c r="P20" s="220" t="str">
        <f>IF(AND(AK20="L",P18=0),"Max",MIN(P18,P19,Data!J11:J12))</f>
        <v>Max</v>
      </c>
      <c r="Q20" s="218"/>
      <c r="R20" s="351">
        <f>SUM(R18:S19)</f>
        <v>0</v>
      </c>
      <c r="S20" s="352"/>
      <c r="T20" s="422">
        <f>SUM(T18+T19)</f>
        <v>0</v>
      </c>
      <c r="U20" s="423"/>
      <c r="V20" s="235">
        <f>SUM(V18:W19)</f>
        <v>0</v>
      </c>
      <c r="W20" s="237"/>
      <c r="Y20" s="433" t="s">
        <v>723</v>
      </c>
      <c r="Z20" s="434"/>
      <c r="AA20" s="419">
        <f>size_enc*(ROUNDDOWN((AK9*2)/3,0)+1)</f>
        <v>67</v>
      </c>
      <c r="AB20" s="420"/>
      <c r="AC20" s="403" t="s">
        <v>678</v>
      </c>
      <c r="AD20" s="421"/>
      <c r="AE20" s="403" t="s">
        <v>680</v>
      </c>
      <c r="AF20" s="404"/>
      <c r="AG20" s="395" t="s">
        <v>682</v>
      </c>
      <c r="AH20" s="396"/>
      <c r="AI20" s="399">
        <v>20</v>
      </c>
      <c r="AJ20" s="400"/>
      <c r="AK20" s="468" t="str">
        <f>IF(AT18&gt;0,"L",IF(AT19&gt;0,"M",IF(AT20&gt;0,"H","")))</f>
        <v>L</v>
      </c>
      <c r="AL20" s="465"/>
      <c r="AM20" s="65"/>
      <c r="AR20" s="78" t="str">
        <f>IF('Character Sheet p2'!AK27&gt;=AA20,AS20," ")</f>
        <v> </v>
      </c>
      <c r="AS20" s="77">
        <f>IF(OR(V2="dwarf",V2="gold dwarf",V2="Shield Dwarf"),AI18,MIN(J18:K19,AI20))</f>
        <v>20</v>
      </c>
      <c r="AT20" s="3">
        <f>COUNT(AR20)</f>
        <v>0</v>
      </c>
    </row>
    <row r="21" spans="7:8" ht="12" customHeight="1">
      <c r="G21" s="222" t="s">
        <v>1013</v>
      </c>
      <c r="H21" s="222"/>
    </row>
    <row r="22" spans="1:39" ht="12" customHeight="1" thickBot="1">
      <c r="A22" s="185">
        <f>SUM(10,G22,I23:R23)</f>
        <v>10</v>
      </c>
      <c r="B22" s="185"/>
      <c r="C22" s="185"/>
      <c r="D22" s="185"/>
      <c r="E22" s="185"/>
      <c r="F22" s="66"/>
      <c r="G22" s="223">
        <f>N20</f>
        <v>0</v>
      </c>
      <c r="H22" s="224"/>
      <c r="I22" s="227" t="s">
        <v>640</v>
      </c>
      <c r="J22" s="228"/>
      <c r="K22" s="228" t="s">
        <v>1014</v>
      </c>
      <c r="L22" s="228"/>
      <c r="M22" s="229" t="s">
        <v>1015</v>
      </c>
      <c r="N22" s="229"/>
      <c r="O22" s="318" t="s">
        <v>637</v>
      </c>
      <c r="P22" s="318"/>
      <c r="Q22" s="325" t="s">
        <v>628</v>
      </c>
      <c r="R22" s="325"/>
      <c r="S22" s="17"/>
      <c r="T22" s="415" t="s">
        <v>722</v>
      </c>
      <c r="U22" s="416"/>
      <c r="V22" s="416"/>
      <c r="W22" s="416"/>
      <c r="X22" s="416"/>
      <c r="Y22" s="416"/>
      <c r="Z22" s="15"/>
      <c r="AA22" s="87" t="s">
        <v>630</v>
      </c>
      <c r="AB22" s="88"/>
      <c r="AC22" s="88"/>
      <c r="AD22" s="88"/>
      <c r="AE22" s="397"/>
      <c r="AF22" s="397"/>
      <c r="AG22" s="397"/>
      <c r="AH22" s="397"/>
      <c r="AI22" s="397"/>
      <c r="AJ22" s="397"/>
      <c r="AK22" s="397"/>
      <c r="AL22" s="398"/>
      <c r="AM22" s="55"/>
    </row>
    <row r="23" spans="1:39" ht="12" customHeight="1">
      <c r="A23" s="185"/>
      <c r="B23" s="185"/>
      <c r="C23" s="185"/>
      <c r="D23" s="185"/>
      <c r="E23" s="185"/>
      <c r="F23" s="67" t="s">
        <v>724</v>
      </c>
      <c r="G23" s="225"/>
      <c r="H23" s="226"/>
      <c r="I23" s="220">
        <f>MIN(P20,IF(G10=0,E10,I10))</f>
        <v>0</v>
      </c>
      <c r="J23" s="219"/>
      <c r="K23" s="220">
        <v>0</v>
      </c>
      <c r="L23" s="219"/>
      <c r="M23" s="220">
        <v>0</v>
      </c>
      <c r="N23" s="218"/>
      <c r="O23" s="220">
        <v>0</v>
      </c>
      <c r="P23" s="353"/>
      <c r="Q23" s="220">
        <f>size_mod</f>
        <v>0</v>
      </c>
      <c r="R23" s="218"/>
      <c r="S23" s="16"/>
      <c r="T23" s="424"/>
      <c r="U23" s="425"/>
      <c r="V23" s="425"/>
      <c r="W23" s="425"/>
      <c r="X23" s="425"/>
      <c r="Y23" s="426"/>
      <c r="Z23" s="15"/>
      <c r="AA23" s="405"/>
      <c r="AB23" s="406"/>
      <c r="AC23" s="406"/>
      <c r="AD23" s="406"/>
      <c r="AE23" s="406"/>
      <c r="AF23" s="406"/>
      <c r="AG23" s="406"/>
      <c r="AH23" s="406"/>
      <c r="AI23" s="406"/>
      <c r="AJ23" s="406"/>
      <c r="AK23" s="406"/>
      <c r="AL23" s="407"/>
      <c r="AM23" s="55"/>
    </row>
    <row r="24" spans="1:39" ht="12" customHeight="1">
      <c r="A24" s="185"/>
      <c r="B24" s="185"/>
      <c r="C24" s="185"/>
      <c r="D24" s="185"/>
      <c r="E24" s="185"/>
      <c r="F24" s="15"/>
      <c r="G24" s="318" t="s">
        <v>725</v>
      </c>
      <c r="H24" s="318"/>
      <c r="I24" s="318"/>
      <c r="J24" s="318" t="s">
        <v>726</v>
      </c>
      <c r="K24" s="318"/>
      <c r="L24" s="318"/>
      <c r="M24" s="318" t="s">
        <v>799</v>
      </c>
      <c r="N24" s="318"/>
      <c r="O24" s="318"/>
      <c r="P24" s="318" t="s">
        <v>1016</v>
      </c>
      <c r="Q24" s="318"/>
      <c r="R24" s="318"/>
      <c r="T24" s="427"/>
      <c r="U24" s="428"/>
      <c r="V24" s="428"/>
      <c r="W24" s="428"/>
      <c r="X24" s="428"/>
      <c r="Y24" s="429"/>
      <c r="Z24" s="15"/>
      <c r="AA24" s="87" t="s">
        <v>647</v>
      </c>
      <c r="AB24" s="88"/>
      <c r="AC24" s="88"/>
      <c r="AD24" s="88"/>
      <c r="AE24" s="397"/>
      <c r="AF24" s="397"/>
      <c r="AG24" s="397"/>
      <c r="AH24" s="397"/>
      <c r="AI24" s="397"/>
      <c r="AJ24" s="397"/>
      <c r="AK24" s="397"/>
      <c r="AL24" s="398"/>
      <c r="AM24" s="55"/>
    </row>
    <row r="25" spans="1:39" ht="12" customHeight="1" thickBot="1">
      <c r="A25" s="185"/>
      <c r="B25" s="185"/>
      <c r="C25" s="185"/>
      <c r="D25" s="185"/>
      <c r="E25" s="185"/>
      <c r="F25" s="15"/>
      <c r="G25" s="235">
        <f>AC-I23</f>
        <v>10</v>
      </c>
      <c r="H25" s="236"/>
      <c r="I25" s="237"/>
      <c r="J25" s="235">
        <f>AC-N19</f>
        <v>10</v>
      </c>
      <c r="K25" s="236"/>
      <c r="L25" s="237"/>
      <c r="M25" s="235">
        <f>AC-(G22+K23)</f>
        <v>10</v>
      </c>
      <c r="N25" s="236"/>
      <c r="O25" s="237"/>
      <c r="P25" s="235">
        <f>SUM(10,I23,M23:R23)+IF(MID(A18,1,7)="bracers",N18,0)</f>
        <v>10</v>
      </c>
      <c r="Q25" s="236"/>
      <c r="R25" s="237"/>
      <c r="T25" s="430"/>
      <c r="U25" s="431"/>
      <c r="V25" s="431"/>
      <c r="W25" s="431"/>
      <c r="X25" s="431"/>
      <c r="Y25" s="432"/>
      <c r="Z25" s="15"/>
      <c r="AA25" s="376"/>
      <c r="AB25" s="377"/>
      <c r="AC25" s="377"/>
      <c r="AD25" s="377"/>
      <c r="AE25" s="377"/>
      <c r="AF25" s="377"/>
      <c r="AG25" s="377"/>
      <c r="AH25" s="377"/>
      <c r="AI25" s="377"/>
      <c r="AJ25" s="377"/>
      <c r="AK25" s="377"/>
      <c r="AL25" s="378"/>
      <c r="AM25" s="55"/>
    </row>
    <row r="26" spans="1:39" ht="12"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ht="12" customHeight="1" thickBot="1">
      <c r="A27" s="19"/>
      <c r="B27" s="19"/>
      <c r="C27" s="19"/>
      <c r="D27" s="19"/>
      <c r="E27" s="239" t="s">
        <v>744</v>
      </c>
      <c r="F27" s="239"/>
      <c r="G27" s="239"/>
      <c r="H27" s="239"/>
      <c r="I27" s="231" t="s">
        <v>727</v>
      </c>
      <c r="J27" s="231"/>
      <c r="K27" s="231"/>
      <c r="L27" s="231"/>
      <c r="M27" s="231" t="s">
        <v>745</v>
      </c>
      <c r="N27" s="231"/>
      <c r="O27" s="231" t="s">
        <v>628</v>
      </c>
      <c r="P27" s="231"/>
      <c r="Q27" s="231" t="s">
        <v>637</v>
      </c>
      <c r="R27" s="231"/>
      <c r="S27" s="19"/>
      <c r="T27" s="19"/>
      <c r="U27" s="19"/>
      <c r="V27" s="19"/>
      <c r="W27" s="19"/>
      <c r="X27" s="19"/>
      <c r="Y27" s="239" t="s">
        <v>744</v>
      </c>
      <c r="Z27" s="239"/>
      <c r="AA27" s="239"/>
      <c r="AB27" s="239"/>
      <c r="AC27" s="231" t="s">
        <v>727</v>
      </c>
      <c r="AD27" s="231"/>
      <c r="AE27" s="231"/>
      <c r="AF27" s="231"/>
      <c r="AG27" s="231" t="s">
        <v>640</v>
      </c>
      <c r="AH27" s="231"/>
      <c r="AI27" s="231" t="s">
        <v>628</v>
      </c>
      <c r="AJ27" s="231"/>
      <c r="AK27" s="231" t="s">
        <v>637</v>
      </c>
      <c r="AL27" s="231"/>
      <c r="AM27" s="19"/>
    </row>
    <row r="28" spans="1:45" ht="12" customHeight="1" thickBot="1">
      <c r="A28" s="195" t="s">
        <v>699</v>
      </c>
      <c r="B28" s="195"/>
      <c r="C28" s="195"/>
      <c r="D28" s="238"/>
      <c r="E28" s="232">
        <f>SUM(I28:R28)</f>
        <v>0</v>
      </c>
      <c r="F28" s="233"/>
      <c r="G28" s="233"/>
      <c r="H28" s="234"/>
      <c r="I28" s="184"/>
      <c r="J28" s="184"/>
      <c r="K28" s="184"/>
      <c r="L28" s="230"/>
      <c r="M28" s="328">
        <f>IF(G9=0,E9,I9)</f>
        <v>0</v>
      </c>
      <c r="N28" s="230"/>
      <c r="O28" s="220">
        <f>size_mod</f>
        <v>0</v>
      </c>
      <c r="P28" s="218"/>
      <c r="Q28" s="326"/>
      <c r="R28" s="327"/>
      <c r="T28" s="195" t="s">
        <v>700</v>
      </c>
      <c r="U28" s="195"/>
      <c r="V28" s="195"/>
      <c r="W28" s="195"/>
      <c r="X28" s="238"/>
      <c r="Y28" s="232">
        <f>SUM(AC28:AL28)</f>
        <v>0</v>
      </c>
      <c r="Z28" s="233"/>
      <c r="AA28" s="233"/>
      <c r="AB28" s="234"/>
      <c r="AC28" s="184">
        <f>I28</f>
        <v>0</v>
      </c>
      <c r="AD28" s="184"/>
      <c r="AE28" s="184"/>
      <c r="AF28" s="230"/>
      <c r="AG28" s="328">
        <f>IF(G10=0,E10,I10)</f>
        <v>0</v>
      </c>
      <c r="AH28" s="230"/>
      <c r="AI28" s="220">
        <f>size_mod</f>
        <v>0</v>
      </c>
      <c r="AJ28" s="218"/>
      <c r="AK28" s="326"/>
      <c r="AL28" s="327"/>
      <c r="AM28" s="18"/>
      <c r="AQ28" s="68"/>
      <c r="AS28" s="68"/>
    </row>
    <row r="29" spans="39:46" ht="12" customHeight="1">
      <c r="AM29" s="69"/>
      <c r="AQ29" s="1" t="s">
        <v>777</v>
      </c>
      <c r="AR29" s="1"/>
      <c r="AS29" s="68"/>
      <c r="AT29" s="70"/>
    </row>
    <row r="30" spans="1:50" ht="12" customHeight="1">
      <c r="A30" s="189" t="s">
        <v>627</v>
      </c>
      <c r="B30" s="190"/>
      <c r="C30" s="190"/>
      <c r="D30" s="190"/>
      <c r="E30" s="190"/>
      <c r="F30" s="190"/>
      <c r="G30" s="190"/>
      <c r="H30" s="190"/>
      <c r="I30" s="189" t="s">
        <v>648</v>
      </c>
      <c r="J30" s="189"/>
      <c r="K30" s="189"/>
      <c r="L30" s="189"/>
      <c r="M30" s="189"/>
      <c r="N30" s="189"/>
      <c r="O30" s="189" t="s">
        <v>698</v>
      </c>
      <c r="P30" s="189"/>
      <c r="Q30" s="189"/>
      <c r="R30" s="189"/>
      <c r="S30" s="189" t="s">
        <v>697</v>
      </c>
      <c r="T30" s="189"/>
      <c r="U30" s="189"/>
      <c r="V30" s="189"/>
      <c r="W30" s="189" t="s">
        <v>728</v>
      </c>
      <c r="X30" s="189"/>
      <c r="Y30" s="189" t="s">
        <v>631</v>
      </c>
      <c r="Z30" s="189"/>
      <c r="AA30" s="189" t="s">
        <v>628</v>
      </c>
      <c r="AB30" s="189"/>
      <c r="AC30" s="189" t="s">
        <v>629</v>
      </c>
      <c r="AD30" s="189"/>
      <c r="AE30" s="189" t="s">
        <v>638</v>
      </c>
      <c r="AF30" s="189"/>
      <c r="AG30" s="189"/>
      <c r="AH30" s="189"/>
      <c r="AI30" s="189"/>
      <c r="AJ30" s="189"/>
      <c r="AK30" s="189"/>
      <c r="AL30" s="189"/>
      <c r="AM30" s="69"/>
      <c r="AQ30" s="70" t="s">
        <v>758</v>
      </c>
      <c r="AS30" s="70"/>
      <c r="AT30" s="70"/>
      <c r="AU30" s="68"/>
      <c r="AV30" s="70"/>
      <c r="AW30" s="70"/>
      <c r="AX30" s="70"/>
    </row>
    <row r="31" spans="1:50" ht="12" customHeight="1">
      <c r="A31" s="242"/>
      <c r="B31" s="243"/>
      <c r="C31" s="243"/>
      <c r="D31" s="243"/>
      <c r="E31" s="243"/>
      <c r="F31" s="243"/>
      <c r="G31" s="243"/>
      <c r="H31" s="244"/>
      <c r="I31" s="245"/>
      <c r="J31" s="246"/>
      <c r="K31" s="246"/>
      <c r="L31" s="246"/>
      <c r="M31" s="246"/>
      <c r="N31" s="247"/>
      <c r="O31" s="245"/>
      <c r="P31" s="246"/>
      <c r="Q31" s="246"/>
      <c r="R31" s="247"/>
      <c r="S31" s="245"/>
      <c r="T31" s="246"/>
      <c r="U31" s="246"/>
      <c r="V31" s="247"/>
      <c r="W31" s="329"/>
      <c r="X31" s="330"/>
      <c r="Y31" s="329"/>
      <c r="Z31" s="330"/>
      <c r="AA31" s="245"/>
      <c r="AB31" s="247"/>
      <c r="AC31" s="245"/>
      <c r="AD31" s="247"/>
      <c r="AE31" s="245"/>
      <c r="AF31" s="246"/>
      <c r="AG31" s="246"/>
      <c r="AH31" s="246"/>
      <c r="AI31" s="246"/>
      <c r="AJ31" s="246"/>
      <c r="AK31" s="246"/>
      <c r="AL31" s="247"/>
      <c r="AM31" s="69"/>
      <c r="AQ31" s="3" t="s">
        <v>753</v>
      </c>
      <c r="AT31" s="70"/>
      <c r="AU31" s="70"/>
      <c r="AV31" s="70"/>
      <c r="AW31" s="70"/>
      <c r="AX31" s="70"/>
    </row>
    <row r="32" spans="1:50" ht="12" customHeight="1">
      <c r="A32" s="206"/>
      <c r="B32" s="207"/>
      <c r="C32" s="207"/>
      <c r="D32" s="207"/>
      <c r="E32" s="207"/>
      <c r="F32" s="207"/>
      <c r="G32" s="207"/>
      <c r="H32" s="208"/>
      <c r="I32" s="211"/>
      <c r="J32" s="212"/>
      <c r="K32" s="212"/>
      <c r="L32" s="212"/>
      <c r="M32" s="212"/>
      <c r="N32" s="213"/>
      <c r="O32" s="211"/>
      <c r="P32" s="212"/>
      <c r="Q32" s="212"/>
      <c r="R32" s="213"/>
      <c r="S32" s="211"/>
      <c r="T32" s="212"/>
      <c r="U32" s="212"/>
      <c r="V32" s="213"/>
      <c r="W32" s="204"/>
      <c r="X32" s="205"/>
      <c r="Y32" s="204"/>
      <c r="Z32" s="205"/>
      <c r="AA32" s="211"/>
      <c r="AB32" s="213"/>
      <c r="AC32" s="211"/>
      <c r="AD32" s="213"/>
      <c r="AE32" s="211"/>
      <c r="AF32" s="212"/>
      <c r="AG32" s="212"/>
      <c r="AH32" s="212"/>
      <c r="AI32" s="212"/>
      <c r="AJ32" s="212"/>
      <c r="AK32" s="212"/>
      <c r="AL32" s="213"/>
      <c r="AM32" s="69"/>
      <c r="AQ32" s="3" t="s">
        <v>754</v>
      </c>
      <c r="AT32" s="70"/>
      <c r="AU32" s="70"/>
      <c r="AV32" s="70"/>
      <c r="AW32" s="70"/>
      <c r="AX32" s="70"/>
    </row>
    <row r="33" spans="1:50" ht="12" customHeight="1">
      <c r="A33" s="206"/>
      <c r="B33" s="207"/>
      <c r="C33" s="207"/>
      <c r="D33" s="207"/>
      <c r="E33" s="207"/>
      <c r="F33" s="207"/>
      <c r="G33" s="207"/>
      <c r="H33" s="208"/>
      <c r="I33" s="211"/>
      <c r="J33" s="212"/>
      <c r="K33" s="212"/>
      <c r="L33" s="212"/>
      <c r="M33" s="212"/>
      <c r="N33" s="213"/>
      <c r="O33" s="211"/>
      <c r="P33" s="212"/>
      <c r="Q33" s="212"/>
      <c r="R33" s="213"/>
      <c r="S33" s="211"/>
      <c r="T33" s="212"/>
      <c r="U33" s="212"/>
      <c r="V33" s="213"/>
      <c r="W33" s="204"/>
      <c r="X33" s="205"/>
      <c r="Y33" s="204"/>
      <c r="Z33" s="205"/>
      <c r="AA33" s="211"/>
      <c r="AB33" s="213"/>
      <c r="AC33" s="211"/>
      <c r="AD33" s="213"/>
      <c r="AE33" s="211"/>
      <c r="AF33" s="212"/>
      <c r="AG33" s="212"/>
      <c r="AH33" s="212"/>
      <c r="AI33" s="212"/>
      <c r="AJ33" s="212"/>
      <c r="AK33" s="212"/>
      <c r="AL33" s="213"/>
      <c r="AM33" s="69"/>
      <c r="AQ33" s="70" t="s">
        <v>755</v>
      </c>
      <c r="AS33" s="70"/>
      <c r="AT33" s="70"/>
      <c r="AU33" s="70"/>
      <c r="AV33" s="70"/>
      <c r="AW33" s="70"/>
      <c r="AX33" s="70"/>
    </row>
    <row r="34" spans="1:50" ht="12" customHeight="1">
      <c r="A34" s="206"/>
      <c r="B34" s="207"/>
      <c r="C34" s="207"/>
      <c r="D34" s="207"/>
      <c r="E34" s="207"/>
      <c r="F34" s="207"/>
      <c r="G34" s="207"/>
      <c r="H34" s="208"/>
      <c r="I34" s="211"/>
      <c r="J34" s="212"/>
      <c r="K34" s="212"/>
      <c r="L34" s="212"/>
      <c r="M34" s="212"/>
      <c r="N34" s="213"/>
      <c r="O34" s="211"/>
      <c r="P34" s="212"/>
      <c r="Q34" s="212"/>
      <c r="R34" s="213"/>
      <c r="S34" s="211"/>
      <c r="T34" s="212"/>
      <c r="U34" s="212"/>
      <c r="V34" s="213"/>
      <c r="W34" s="204"/>
      <c r="X34" s="205"/>
      <c r="Y34" s="204"/>
      <c r="Z34" s="205"/>
      <c r="AA34" s="211"/>
      <c r="AB34" s="213"/>
      <c r="AC34" s="211"/>
      <c r="AD34" s="213"/>
      <c r="AE34" s="211"/>
      <c r="AF34" s="212"/>
      <c r="AG34" s="212"/>
      <c r="AH34" s="212"/>
      <c r="AI34" s="212"/>
      <c r="AJ34" s="212"/>
      <c r="AK34" s="212"/>
      <c r="AL34" s="213"/>
      <c r="AM34" s="69"/>
      <c r="AQ34" s="3" t="s">
        <v>756</v>
      </c>
      <c r="AT34" s="70"/>
      <c r="AU34" s="70"/>
      <c r="AV34" s="70"/>
      <c r="AW34" s="70"/>
      <c r="AX34" s="70"/>
    </row>
    <row r="35" spans="1:50" ht="12" customHeight="1">
      <c r="A35" s="206"/>
      <c r="B35" s="207"/>
      <c r="C35" s="207"/>
      <c r="D35" s="207"/>
      <c r="E35" s="207"/>
      <c r="F35" s="207"/>
      <c r="G35" s="207"/>
      <c r="H35" s="208"/>
      <c r="I35" s="211"/>
      <c r="J35" s="212"/>
      <c r="K35" s="212"/>
      <c r="L35" s="212"/>
      <c r="M35" s="212"/>
      <c r="N35" s="213"/>
      <c r="O35" s="211"/>
      <c r="P35" s="212"/>
      <c r="Q35" s="212"/>
      <c r="R35" s="213"/>
      <c r="S35" s="211"/>
      <c r="T35" s="212"/>
      <c r="U35" s="212"/>
      <c r="V35" s="213"/>
      <c r="W35" s="204"/>
      <c r="X35" s="205"/>
      <c r="Y35" s="204"/>
      <c r="Z35" s="205"/>
      <c r="AA35" s="211"/>
      <c r="AB35" s="213"/>
      <c r="AC35" s="211"/>
      <c r="AD35" s="213"/>
      <c r="AE35" s="211"/>
      <c r="AF35" s="212"/>
      <c r="AG35" s="212"/>
      <c r="AH35" s="212"/>
      <c r="AI35" s="212"/>
      <c r="AJ35" s="212"/>
      <c r="AK35" s="212"/>
      <c r="AL35" s="213"/>
      <c r="AM35" s="18"/>
      <c r="AQ35" s="70" t="s">
        <v>757</v>
      </c>
      <c r="AS35" s="70"/>
      <c r="AT35" s="70"/>
      <c r="AU35" s="70"/>
      <c r="AV35" s="70"/>
      <c r="AW35" s="70"/>
      <c r="AX35" s="70"/>
    </row>
    <row r="36" spans="1:50" ht="12" customHeight="1">
      <c r="A36" s="209"/>
      <c r="B36" s="210"/>
      <c r="C36" s="210"/>
      <c r="D36" s="210"/>
      <c r="E36" s="210"/>
      <c r="F36" s="210"/>
      <c r="G36" s="210"/>
      <c r="H36" s="202"/>
      <c r="I36" s="214"/>
      <c r="J36" s="215"/>
      <c r="K36" s="215"/>
      <c r="L36" s="215"/>
      <c r="M36" s="215"/>
      <c r="N36" s="203"/>
      <c r="O36" s="214"/>
      <c r="P36" s="215"/>
      <c r="Q36" s="215"/>
      <c r="R36" s="203"/>
      <c r="S36" s="214"/>
      <c r="T36" s="215"/>
      <c r="U36" s="215"/>
      <c r="V36" s="203"/>
      <c r="W36" s="216"/>
      <c r="X36" s="217"/>
      <c r="Y36" s="216"/>
      <c r="Z36" s="217"/>
      <c r="AA36" s="214"/>
      <c r="AB36" s="203"/>
      <c r="AC36" s="214"/>
      <c r="AD36" s="203"/>
      <c r="AE36" s="214"/>
      <c r="AF36" s="215"/>
      <c r="AG36" s="215"/>
      <c r="AH36" s="215"/>
      <c r="AI36" s="215"/>
      <c r="AJ36" s="215"/>
      <c r="AK36" s="215"/>
      <c r="AL36" s="203"/>
      <c r="AN36" s="6"/>
      <c r="AQ36" s="70" t="s">
        <v>759</v>
      </c>
      <c r="AS36" s="70"/>
      <c r="AT36" s="70"/>
      <c r="AU36" s="70"/>
      <c r="AV36" s="70"/>
      <c r="AW36" s="70"/>
      <c r="AX36" s="70"/>
    </row>
    <row r="37" spans="40:50" ht="12" customHeight="1">
      <c r="AN37" s="408"/>
      <c r="AO37" s="408"/>
      <c r="AQ37" s="70" t="s">
        <v>760</v>
      </c>
      <c r="AS37" s="70"/>
      <c r="AT37" s="70"/>
      <c r="AU37" s="70"/>
      <c r="AV37" s="70"/>
      <c r="AW37" s="70"/>
      <c r="AX37" s="70"/>
    </row>
    <row r="38" spans="1:50" ht="12" customHeight="1">
      <c r="A38" s="248" t="s">
        <v>650</v>
      </c>
      <c r="B38" s="249"/>
      <c r="C38" s="249"/>
      <c r="D38" s="249"/>
      <c r="E38" s="249"/>
      <c r="F38" s="249"/>
      <c r="G38" s="250"/>
      <c r="H38" s="240" t="s">
        <v>635</v>
      </c>
      <c r="I38" s="346"/>
      <c r="J38" s="348" t="s">
        <v>639</v>
      </c>
      <c r="K38" s="349"/>
      <c r="L38" s="240" t="s">
        <v>690</v>
      </c>
      <c r="M38" s="349"/>
      <c r="N38" s="240" t="s">
        <v>637</v>
      </c>
      <c r="O38" s="241"/>
      <c r="P38" s="248" t="s">
        <v>650</v>
      </c>
      <c r="Q38" s="412"/>
      <c r="R38" s="412"/>
      <c r="S38" s="412"/>
      <c r="T38" s="412"/>
      <c r="U38" s="412"/>
      <c r="V38" s="412"/>
      <c r="W38" s="240" t="s">
        <v>635</v>
      </c>
      <c r="X38" s="346"/>
      <c r="Y38" s="348" t="s">
        <v>639</v>
      </c>
      <c r="Z38" s="349"/>
      <c r="AA38" s="240" t="s">
        <v>690</v>
      </c>
      <c r="AB38" s="346"/>
      <c r="AC38" s="240" t="s">
        <v>637</v>
      </c>
      <c r="AD38" s="350"/>
      <c r="AE38" s="409" t="s">
        <v>729</v>
      </c>
      <c r="AF38" s="410"/>
      <c r="AG38" s="410"/>
      <c r="AH38" s="410"/>
      <c r="AI38" s="410"/>
      <c r="AJ38" s="410"/>
      <c r="AK38" s="410"/>
      <c r="AL38" s="411"/>
      <c r="AM38" s="69"/>
      <c r="AN38" s="1" t="s">
        <v>947</v>
      </c>
      <c r="AQ38" s="70" t="s">
        <v>761</v>
      </c>
      <c r="AS38" s="70"/>
      <c r="AT38" s="70"/>
      <c r="AU38" s="70"/>
      <c r="AV38" s="70"/>
      <c r="AW38" s="70"/>
      <c r="AX38" s="70"/>
    </row>
    <row r="39" spans="1:50" ht="12" customHeight="1">
      <c r="A39" s="92" t="s">
        <v>651</v>
      </c>
      <c r="B39" s="15"/>
      <c r="C39" s="15"/>
      <c r="D39" s="15"/>
      <c r="E39" s="15"/>
      <c r="F39" s="15"/>
      <c r="G39" s="15"/>
      <c r="H39" s="253">
        <f>SUM(J39:O39)</f>
        <v>0</v>
      </c>
      <c r="I39" s="254"/>
      <c r="J39" s="338"/>
      <c r="K39" s="339"/>
      <c r="L39" s="287">
        <f>IF(G12=0,E12,I12)</f>
        <v>0</v>
      </c>
      <c r="M39" s="340"/>
      <c r="N39" s="335"/>
      <c r="O39" s="336"/>
      <c r="P39" s="333" t="s">
        <v>713</v>
      </c>
      <c r="Q39" s="334"/>
      <c r="R39" s="334"/>
      <c r="S39" s="341"/>
      <c r="T39" s="341"/>
      <c r="U39" s="341"/>
      <c r="V39" s="342"/>
      <c r="W39" s="251">
        <f>SUM(Y39:AD39)</f>
        <v>0</v>
      </c>
      <c r="X39" s="252"/>
      <c r="Y39" s="331"/>
      <c r="Z39" s="332"/>
      <c r="AA39" s="260">
        <f>IF(G12=0,E12,I12)</f>
        <v>0</v>
      </c>
      <c r="AB39" s="261"/>
      <c r="AC39" s="337"/>
      <c r="AD39" s="294"/>
      <c r="AE39" s="211"/>
      <c r="AF39" s="259"/>
      <c r="AG39" s="347"/>
      <c r="AH39" s="212"/>
      <c r="AI39" s="212"/>
      <c r="AJ39" s="212"/>
      <c r="AK39" s="212"/>
      <c r="AL39" s="213"/>
      <c r="AM39" s="69"/>
      <c r="AN39" s="47" t="s">
        <v>943</v>
      </c>
      <c r="AO39" s="78"/>
      <c r="AQ39" s="70" t="s">
        <v>762</v>
      </c>
      <c r="AS39" s="70"/>
      <c r="AT39" s="70"/>
      <c r="AU39" s="70"/>
      <c r="AV39" s="70"/>
      <c r="AW39" s="70"/>
      <c r="AX39" s="70"/>
    </row>
    <row r="40" spans="1:50" ht="12" customHeight="1">
      <c r="A40" s="92" t="s">
        <v>684</v>
      </c>
      <c r="B40" s="15"/>
      <c r="C40" s="15"/>
      <c r="D40" s="15"/>
      <c r="E40" s="15"/>
      <c r="F40" s="15"/>
      <c r="G40" s="15"/>
      <c r="H40" s="251">
        <f>SUM(J40:O40)+MIN(T20,MIN(Data!I11:I12))+(IF(Tumble&gt;4,2,0))</f>
        <v>0</v>
      </c>
      <c r="I40" s="252"/>
      <c r="J40" s="331"/>
      <c r="K40" s="332"/>
      <c r="L40" s="260">
        <f>IF(G10=0,E10,I10)</f>
        <v>0</v>
      </c>
      <c r="M40" s="261"/>
      <c r="N40" s="337"/>
      <c r="O40" s="294"/>
      <c r="P40" s="333" t="s">
        <v>713</v>
      </c>
      <c r="Q40" s="334"/>
      <c r="R40" s="334"/>
      <c r="S40" s="341"/>
      <c r="T40" s="341"/>
      <c r="U40" s="341"/>
      <c r="V40" s="342"/>
      <c r="W40" s="251">
        <f>SUM(Y40:AD40)</f>
        <v>0</v>
      </c>
      <c r="X40" s="252"/>
      <c r="Y40" s="331"/>
      <c r="Z40" s="332"/>
      <c r="AA40" s="260">
        <f>IF(G12=0,E12,I12)</f>
        <v>0</v>
      </c>
      <c r="AB40" s="261"/>
      <c r="AC40" s="337"/>
      <c r="AD40" s="294"/>
      <c r="AE40" s="211"/>
      <c r="AF40" s="259"/>
      <c r="AG40" s="347"/>
      <c r="AH40" s="212"/>
      <c r="AI40" s="212"/>
      <c r="AJ40" s="212"/>
      <c r="AK40" s="212"/>
      <c r="AL40" s="213"/>
      <c r="AM40" s="69"/>
      <c r="AN40" s="3" t="s">
        <v>944</v>
      </c>
      <c r="AO40" s="78"/>
      <c r="AQ40" s="70" t="s">
        <v>763</v>
      </c>
      <c r="AS40" s="70"/>
      <c r="AT40" s="70"/>
      <c r="AU40" s="70"/>
      <c r="AV40" s="70"/>
      <c r="AW40" s="70"/>
      <c r="AX40" s="70"/>
    </row>
    <row r="41" spans="1:50" ht="12" customHeight="1">
      <c r="A41" s="92" t="s">
        <v>652</v>
      </c>
      <c r="B41" s="15"/>
      <c r="C41" s="15"/>
      <c r="D41" s="15"/>
      <c r="E41" s="15"/>
      <c r="F41" s="15"/>
      <c r="G41" s="15"/>
      <c r="H41" s="251">
        <f>SUM(J41:O41)+(VLOOKUP(V2,Data!N3:AB36,3,FALSE))</f>
        <v>0</v>
      </c>
      <c r="I41" s="252"/>
      <c r="J41" s="331"/>
      <c r="K41" s="332"/>
      <c r="L41" s="260">
        <f>IF(G14=0,E14,I14)</f>
        <v>0</v>
      </c>
      <c r="M41" s="261"/>
      <c r="N41" s="337"/>
      <c r="O41" s="294"/>
      <c r="P41" s="333" t="s">
        <v>981</v>
      </c>
      <c r="Q41" s="334"/>
      <c r="R41" s="334"/>
      <c r="S41" s="341"/>
      <c r="T41" s="341"/>
      <c r="U41" s="341"/>
      <c r="V41" s="342"/>
      <c r="W41" s="251">
        <f>SUM(Y41:AD41)</f>
        <v>0</v>
      </c>
      <c r="X41" s="252"/>
      <c r="Y41" s="331"/>
      <c r="Z41" s="332"/>
      <c r="AA41" s="260">
        <f>IF(G14=0,E14,I14)</f>
        <v>0</v>
      </c>
      <c r="AB41" s="261"/>
      <c r="AC41" s="337"/>
      <c r="AD41" s="294"/>
      <c r="AE41" s="211"/>
      <c r="AF41" s="259"/>
      <c r="AG41" s="347"/>
      <c r="AH41" s="212"/>
      <c r="AI41" s="212"/>
      <c r="AJ41" s="212"/>
      <c r="AK41" s="212"/>
      <c r="AL41" s="213"/>
      <c r="AM41" s="69"/>
      <c r="AN41" s="3" t="s">
        <v>945</v>
      </c>
      <c r="AO41" s="73">
        <f>COUNTIF(AE54:AF61,"$")*2</f>
        <v>0</v>
      </c>
      <c r="AQ41" s="70" t="s">
        <v>971</v>
      </c>
      <c r="AS41" s="70"/>
      <c r="AT41" s="70"/>
      <c r="AU41" s="70"/>
      <c r="AV41" s="70"/>
      <c r="AW41" s="70"/>
      <c r="AX41" s="70"/>
    </row>
    <row r="42" spans="1:50" ht="12" customHeight="1">
      <c r="A42" s="92" t="s">
        <v>667</v>
      </c>
      <c r="B42" s="15"/>
      <c r="C42" s="15"/>
      <c r="D42" s="15"/>
      <c r="E42" s="15"/>
      <c r="F42" s="15"/>
      <c r="G42" s="15"/>
      <c r="H42" s="251">
        <f>SUM(J42:O42)+MIN(T20,MIN(Data!I11:I12))+(VLOOKUP(V2,Data!N3:AB36,4,FALSE))</f>
        <v>0</v>
      </c>
      <c r="I42" s="252"/>
      <c r="J42" s="331"/>
      <c r="K42" s="332"/>
      <c r="L42" s="260">
        <f>IF(G9=0,E9,I9)</f>
        <v>0</v>
      </c>
      <c r="M42" s="261"/>
      <c r="N42" s="337"/>
      <c r="O42" s="294"/>
      <c r="P42" s="333" t="s">
        <v>981</v>
      </c>
      <c r="Q42" s="334"/>
      <c r="R42" s="334"/>
      <c r="S42" s="341"/>
      <c r="T42" s="341"/>
      <c r="U42" s="341"/>
      <c r="V42" s="342"/>
      <c r="W42" s="251">
        <f>SUM(Y42:AD42)</f>
        <v>0</v>
      </c>
      <c r="X42" s="252"/>
      <c r="Y42" s="331"/>
      <c r="Z42" s="332"/>
      <c r="AA42" s="260">
        <f>IF(G14=0,E14,I14)</f>
        <v>0</v>
      </c>
      <c r="AB42" s="261"/>
      <c r="AC42" s="337"/>
      <c r="AD42" s="294"/>
      <c r="AE42" s="211"/>
      <c r="AF42" s="259"/>
      <c r="AG42" s="347"/>
      <c r="AH42" s="212"/>
      <c r="AI42" s="212"/>
      <c r="AJ42" s="212"/>
      <c r="AK42" s="212"/>
      <c r="AL42" s="213"/>
      <c r="AM42" s="69"/>
      <c r="AN42" s="3" t="s">
        <v>948</v>
      </c>
      <c r="AO42" s="73">
        <f>SUM(AO39:AO41)</f>
        <v>0</v>
      </c>
      <c r="AQ42" s="70" t="s">
        <v>784</v>
      </c>
      <c r="AS42" s="70"/>
      <c r="AT42" s="70"/>
      <c r="AU42" s="70"/>
      <c r="AV42" s="70"/>
      <c r="AW42" s="70"/>
      <c r="AX42" s="70"/>
    </row>
    <row r="43" spans="1:50" ht="12" customHeight="1">
      <c r="A43" s="92" t="s">
        <v>653</v>
      </c>
      <c r="B43" s="15"/>
      <c r="C43" s="15"/>
      <c r="D43" s="15"/>
      <c r="E43" s="15"/>
      <c r="F43" s="15"/>
      <c r="G43" s="15"/>
      <c r="H43" s="251">
        <f>SUM(J43:O43)</f>
        <v>0</v>
      </c>
      <c r="I43" s="252"/>
      <c r="J43" s="331"/>
      <c r="K43" s="332"/>
      <c r="L43" s="260">
        <f>IF(G11=0,E11,I11)</f>
        <v>0</v>
      </c>
      <c r="M43" s="261"/>
      <c r="N43" s="337"/>
      <c r="O43" s="294"/>
      <c r="P43" s="343" t="s">
        <v>677</v>
      </c>
      <c r="Q43" s="344"/>
      <c r="R43" s="344"/>
      <c r="S43" s="344"/>
      <c r="T43" s="344"/>
      <c r="U43" s="344"/>
      <c r="V43" s="345"/>
      <c r="W43" s="240" t="s">
        <v>635</v>
      </c>
      <c r="X43" s="346"/>
      <c r="Y43" s="240" t="s">
        <v>639</v>
      </c>
      <c r="Z43" s="346"/>
      <c r="AA43" s="240" t="s">
        <v>690</v>
      </c>
      <c r="AB43" s="346"/>
      <c r="AC43" s="240" t="s">
        <v>637</v>
      </c>
      <c r="AD43" s="346"/>
      <c r="AE43" s="211"/>
      <c r="AF43" s="259"/>
      <c r="AG43" s="347"/>
      <c r="AH43" s="212"/>
      <c r="AI43" s="212"/>
      <c r="AJ43" s="212"/>
      <c r="AK43" s="212"/>
      <c r="AL43" s="213"/>
      <c r="AM43" s="69"/>
      <c r="AN43" s="3" t="s">
        <v>946</v>
      </c>
      <c r="AO43" s="75">
        <f>AK62</f>
        <v>0</v>
      </c>
      <c r="AQ43" s="3" t="s">
        <v>764</v>
      </c>
      <c r="AS43" s="70"/>
      <c r="AT43" s="70"/>
      <c r="AU43" s="70"/>
      <c r="AV43" s="70"/>
      <c r="AW43" s="70"/>
      <c r="AX43" s="70"/>
    </row>
    <row r="44" spans="1:50" ht="12" customHeight="1">
      <c r="A44" s="92" t="s">
        <v>654</v>
      </c>
      <c r="B44" s="15"/>
      <c r="C44" s="15"/>
      <c r="D44" s="15"/>
      <c r="E44" s="15"/>
      <c r="F44" s="15"/>
      <c r="G44" s="15"/>
      <c r="H44" s="251">
        <f>SUM(J44:O44)+IF(SenseMotive&gt;4,2,0)+IF(Bluff&gt;4,2,0)+(VLOOKUP(V2,Data!N3:AB36,11,FALSE))+IF(K_nobility&gt;4,2,0)</f>
        <v>0</v>
      </c>
      <c r="I44" s="252"/>
      <c r="J44" s="331"/>
      <c r="K44" s="332"/>
      <c r="L44" s="260">
        <f>IF(G14=0,E14,I14)</f>
        <v>0</v>
      </c>
      <c r="M44" s="261"/>
      <c r="N44" s="337"/>
      <c r="O44" s="294"/>
      <c r="P44" s="93" t="s">
        <v>670</v>
      </c>
      <c r="Q44" s="91"/>
      <c r="R44" s="91"/>
      <c r="S44" s="91"/>
      <c r="T44" s="91"/>
      <c r="U44" s="91"/>
      <c r="V44" s="91"/>
      <c r="W44" s="253">
        <f>IF(Y44=0,"",SUM(Y44:AD44))</f>
      </c>
      <c r="X44" s="254"/>
      <c r="Y44" s="338"/>
      <c r="Z44" s="339"/>
      <c r="AA44" s="287">
        <f>IF(G12=0,E12,I12)</f>
        <v>0</v>
      </c>
      <c r="AB44" s="340"/>
      <c r="AC44" s="335"/>
      <c r="AD44" s="336"/>
      <c r="AE44" s="211"/>
      <c r="AF44" s="259"/>
      <c r="AG44" s="347"/>
      <c r="AH44" s="212"/>
      <c r="AI44" s="212"/>
      <c r="AJ44" s="212"/>
      <c r="AK44" s="212"/>
      <c r="AL44" s="213"/>
      <c r="AM44" s="69"/>
      <c r="AN44" s="3" t="s">
        <v>949</v>
      </c>
      <c r="AO44" s="74">
        <f>AO43-AO42</f>
        <v>0</v>
      </c>
      <c r="AQ44" s="70" t="s">
        <v>778</v>
      </c>
      <c r="AS44" s="70"/>
      <c r="AT44" s="70"/>
      <c r="AU44" s="70"/>
      <c r="AV44" s="70"/>
      <c r="AW44" s="70"/>
      <c r="AX44" s="70"/>
    </row>
    <row r="45" spans="1:50" ht="12" customHeight="1">
      <c r="A45" s="92" t="s">
        <v>655</v>
      </c>
      <c r="B45" s="15"/>
      <c r="C45" s="15"/>
      <c r="D45" s="15"/>
      <c r="E45" s="15"/>
      <c r="F45" s="15"/>
      <c r="G45" s="15"/>
      <c r="H45" s="251">
        <f>SUM(J45:O45)+IF(J41&gt;4,2,0)</f>
        <v>0</v>
      </c>
      <c r="I45" s="252"/>
      <c r="J45" s="331"/>
      <c r="K45" s="332"/>
      <c r="L45" s="260">
        <f>IF(G14=0,E14,I14)</f>
        <v>0</v>
      </c>
      <c r="M45" s="261"/>
      <c r="N45" s="337"/>
      <c r="O45" s="294"/>
      <c r="P45" s="93" t="s">
        <v>671</v>
      </c>
      <c r="Q45" s="91"/>
      <c r="R45" s="91"/>
      <c r="S45" s="91"/>
      <c r="T45" s="91"/>
      <c r="U45" s="91"/>
      <c r="V45" s="91"/>
      <c r="W45" s="251">
        <f>IF(Y45=0,"",SUM(Y45:AD45))</f>
      </c>
      <c r="X45" s="252"/>
      <c r="Y45" s="331"/>
      <c r="Z45" s="332"/>
      <c r="AA45" s="260">
        <f>IF(G12=0,E12,I12)</f>
        <v>0</v>
      </c>
      <c r="AB45" s="261"/>
      <c r="AC45" s="337"/>
      <c r="AD45" s="294"/>
      <c r="AE45" s="211"/>
      <c r="AF45" s="259"/>
      <c r="AG45" s="347"/>
      <c r="AH45" s="212"/>
      <c r="AI45" s="212"/>
      <c r="AJ45" s="212"/>
      <c r="AK45" s="212"/>
      <c r="AL45" s="213"/>
      <c r="AM45" s="69"/>
      <c r="AQ45" s="70" t="s">
        <v>765</v>
      </c>
      <c r="AS45" s="70"/>
      <c r="AT45" s="70"/>
      <c r="AU45" s="70"/>
      <c r="AV45" s="70"/>
      <c r="AW45" s="70"/>
      <c r="AX45" s="70"/>
    </row>
    <row r="46" spans="1:50" ht="12" customHeight="1">
      <c r="A46" s="92" t="s">
        <v>657</v>
      </c>
      <c r="B46" s="15"/>
      <c r="C46" s="15"/>
      <c r="D46" s="15"/>
      <c r="E46" s="15"/>
      <c r="F46" s="15"/>
      <c r="G46" s="15"/>
      <c r="H46" s="251">
        <f>SUM(J46:O46)+MIN(T20,MIN(Data!I11:I12))</f>
        <v>0</v>
      </c>
      <c r="I46" s="252"/>
      <c r="J46" s="331"/>
      <c r="K46" s="332"/>
      <c r="L46" s="260">
        <f>IF(G10=0,E10,I10)</f>
        <v>0</v>
      </c>
      <c r="M46" s="261"/>
      <c r="N46" s="337"/>
      <c r="O46" s="294"/>
      <c r="P46" s="93" t="s">
        <v>672</v>
      </c>
      <c r="Q46" s="91"/>
      <c r="R46" s="91"/>
      <c r="S46" s="91"/>
      <c r="T46" s="91"/>
      <c r="U46" s="91"/>
      <c r="V46" s="91"/>
      <c r="W46" s="251">
        <f>IF(Y46=0,"",SUM(Y46:AD46))</f>
      </c>
      <c r="X46" s="252"/>
      <c r="Y46" s="331"/>
      <c r="Z46" s="332"/>
      <c r="AA46" s="260">
        <f>IF(G14=0,E14,I14)</f>
        <v>0</v>
      </c>
      <c r="AB46" s="261"/>
      <c r="AC46" s="337"/>
      <c r="AD46" s="294"/>
      <c r="AE46" s="211"/>
      <c r="AF46" s="259"/>
      <c r="AG46" s="347"/>
      <c r="AH46" s="212"/>
      <c r="AI46" s="212"/>
      <c r="AJ46" s="212"/>
      <c r="AK46" s="212"/>
      <c r="AL46" s="213"/>
      <c r="AM46" s="69"/>
      <c r="AQ46" s="70" t="s">
        <v>767</v>
      </c>
      <c r="AS46" s="70"/>
      <c r="AT46" s="70"/>
      <c r="AU46" s="70"/>
      <c r="AV46" s="70"/>
      <c r="AW46" s="70"/>
      <c r="AX46" s="70"/>
    </row>
    <row r="47" spans="1:50" ht="12" customHeight="1">
      <c r="A47" s="92" t="s">
        <v>666</v>
      </c>
      <c r="B47" s="15"/>
      <c r="C47" s="15"/>
      <c r="D47" s="15"/>
      <c r="E47" s="15"/>
      <c r="F47" s="15"/>
      <c r="G47" s="15"/>
      <c r="H47" s="251">
        <f>SUM(J47:O47)</f>
        <v>0</v>
      </c>
      <c r="I47" s="252"/>
      <c r="J47" s="331"/>
      <c r="K47" s="332"/>
      <c r="L47" s="260">
        <f>IF(G12=0,E12,I12)</f>
        <v>0</v>
      </c>
      <c r="M47" s="261"/>
      <c r="N47" s="337"/>
      <c r="O47" s="294"/>
      <c r="P47" s="93" t="s">
        <v>673</v>
      </c>
      <c r="Q47" s="91"/>
      <c r="R47" s="91"/>
      <c r="S47" s="91"/>
      <c r="T47" s="91"/>
      <c r="U47" s="91"/>
      <c r="V47" s="91"/>
      <c r="W47" s="251">
        <f>IF(Y47=0,"",SUM(Y47:AD47))</f>
      </c>
      <c r="X47" s="252"/>
      <c r="Y47" s="331"/>
      <c r="Z47" s="332"/>
      <c r="AA47" s="260">
        <f>IF(G10=0,E10,I10)</f>
        <v>0</v>
      </c>
      <c r="AB47" s="261"/>
      <c r="AC47" s="337"/>
      <c r="AD47" s="294"/>
      <c r="AE47" s="211"/>
      <c r="AF47" s="259"/>
      <c r="AG47" s="347"/>
      <c r="AH47" s="212"/>
      <c r="AI47" s="212"/>
      <c r="AJ47" s="212"/>
      <c r="AK47" s="212"/>
      <c r="AL47" s="213"/>
      <c r="AM47" s="69"/>
      <c r="AQ47" s="70" t="s">
        <v>785</v>
      </c>
      <c r="AS47" s="70"/>
      <c r="AT47" s="70"/>
      <c r="AU47" s="70"/>
      <c r="AV47" s="70"/>
      <c r="AW47" s="70"/>
      <c r="AX47" s="70"/>
    </row>
    <row r="48" spans="1:50" ht="12" customHeight="1">
      <c r="A48" s="92" t="s">
        <v>656</v>
      </c>
      <c r="B48" s="15"/>
      <c r="C48" s="15"/>
      <c r="D48" s="15"/>
      <c r="E48" s="15"/>
      <c r="F48" s="15"/>
      <c r="G48" s="15"/>
      <c r="H48" s="251">
        <f>SUM(J48:O48)+(VLOOKUP(V2,Data!N3:AB36,12,FALSE))+IF(K_Local&gt;4,2,0)</f>
        <v>0</v>
      </c>
      <c r="I48" s="252"/>
      <c r="J48" s="331"/>
      <c r="K48" s="332"/>
      <c r="L48" s="260">
        <f>IF(G14=0,E14,I14)</f>
        <v>0</v>
      </c>
      <c r="M48" s="261"/>
      <c r="N48" s="337"/>
      <c r="O48" s="294"/>
      <c r="P48" s="93" t="s">
        <v>979</v>
      </c>
      <c r="Q48" s="91"/>
      <c r="R48" s="91"/>
      <c r="S48" s="91"/>
      <c r="T48" s="91"/>
      <c r="U48" s="91"/>
      <c r="V48" s="91"/>
      <c r="W48" s="251">
        <f>IF(Y48=0,"",SUM(Y48:AD48)+MIN(T20,MIN(Data!I11:I12))+IF(Bluff&gt;4,2,0))</f>
      </c>
      <c r="X48" s="252"/>
      <c r="Y48" s="331"/>
      <c r="Z48" s="332"/>
      <c r="AA48" s="260">
        <f>IF(G10=0,E10,I10)</f>
        <v>0</v>
      </c>
      <c r="AB48" s="261"/>
      <c r="AC48" s="337"/>
      <c r="AD48" s="294"/>
      <c r="AE48" s="211"/>
      <c r="AF48" s="259"/>
      <c r="AG48" s="347"/>
      <c r="AH48" s="212"/>
      <c r="AI48" s="212"/>
      <c r="AJ48" s="212"/>
      <c r="AK48" s="212"/>
      <c r="AL48" s="213"/>
      <c r="AM48" s="69"/>
      <c r="AQ48" s="70" t="s">
        <v>766</v>
      </c>
      <c r="AS48" s="70"/>
      <c r="AT48" s="70"/>
      <c r="AU48" s="70"/>
      <c r="AV48" s="70"/>
      <c r="AW48" s="70"/>
      <c r="AX48" s="70"/>
    </row>
    <row r="49" spans="1:50" ht="12" customHeight="1">
      <c r="A49" s="92" t="s">
        <v>658</v>
      </c>
      <c r="B49" s="15"/>
      <c r="C49" s="15"/>
      <c r="D49" s="15"/>
      <c r="E49" s="15"/>
      <c r="F49" s="15"/>
      <c r="G49" s="15"/>
      <c r="H49" s="251">
        <f>SUM(J49:O49)</f>
        <v>0</v>
      </c>
      <c r="I49" s="252"/>
      <c r="J49" s="331"/>
      <c r="K49" s="332"/>
      <c r="L49" s="260">
        <f>IF(G13=0,E13,I13)</f>
        <v>0</v>
      </c>
      <c r="M49" s="261"/>
      <c r="N49" s="337"/>
      <c r="O49" s="294"/>
      <c r="P49" s="93" t="s">
        <v>674</v>
      </c>
      <c r="Q49" s="91"/>
      <c r="R49" s="91"/>
      <c r="S49" s="91"/>
      <c r="T49" s="91"/>
      <c r="U49" s="91"/>
      <c r="V49" s="91"/>
      <c r="W49" s="251">
        <f>IF(Y49=0,"",SUM(Y49:AD49,IF(K_Arcana&gt;4,2,0)))</f>
      </c>
      <c r="X49" s="252"/>
      <c r="Y49" s="331"/>
      <c r="Z49" s="332"/>
      <c r="AA49" s="260">
        <f>IF(G12=0,E12,I12)</f>
        <v>0</v>
      </c>
      <c r="AB49" s="261"/>
      <c r="AC49" s="337"/>
      <c r="AD49" s="294"/>
      <c r="AE49" s="211"/>
      <c r="AF49" s="259"/>
      <c r="AG49" s="347"/>
      <c r="AH49" s="212"/>
      <c r="AI49" s="212"/>
      <c r="AJ49" s="212"/>
      <c r="AK49" s="212"/>
      <c r="AL49" s="213"/>
      <c r="AM49" s="69"/>
      <c r="AQ49" s="70" t="s">
        <v>768</v>
      </c>
      <c r="AS49" s="70"/>
      <c r="AT49" s="70"/>
      <c r="AU49" s="70"/>
      <c r="AV49" s="70"/>
      <c r="AW49" s="70"/>
      <c r="AX49" s="70"/>
    </row>
    <row r="50" spans="1:50" ht="12" customHeight="1">
      <c r="A50" s="92" t="s">
        <v>668</v>
      </c>
      <c r="B50" s="15"/>
      <c r="C50" s="15"/>
      <c r="D50" s="15"/>
      <c r="E50" s="15"/>
      <c r="F50" s="15"/>
      <c r="G50" s="15"/>
      <c r="H50" s="251">
        <f>SUM(J50:O50)+MIN(T20,MIN(Data!I11:I12))+(VLOOKUP(V2,Data!N3:AB36,5,FALSE))+(size_mod*4)</f>
        <v>0</v>
      </c>
      <c r="I50" s="252"/>
      <c r="J50" s="331"/>
      <c r="K50" s="332"/>
      <c r="L50" s="260">
        <f>IF(G10=0,E10,I10)</f>
        <v>0</v>
      </c>
      <c r="M50" s="261"/>
      <c r="N50" s="337"/>
      <c r="O50" s="294"/>
      <c r="P50" s="93" t="s">
        <v>676</v>
      </c>
      <c r="Q50" s="91"/>
      <c r="R50" s="91"/>
      <c r="S50" s="91"/>
      <c r="T50" s="91"/>
      <c r="U50" s="91"/>
      <c r="V50" s="91"/>
      <c r="W50" s="251">
        <f>IF(Y50=0,"",SUM(Y50:AD50)+MIN(T20,MIN(Data!I11:I12))+IF(Jump&gt;4,2,0))</f>
      </c>
      <c r="X50" s="252"/>
      <c r="Y50" s="331"/>
      <c r="Z50" s="332"/>
      <c r="AA50" s="260">
        <f>IF(G10=0,E10,I10)</f>
        <v>0</v>
      </c>
      <c r="AB50" s="261"/>
      <c r="AC50" s="337"/>
      <c r="AD50" s="294"/>
      <c r="AE50" s="211"/>
      <c r="AF50" s="259"/>
      <c r="AG50" s="347"/>
      <c r="AH50" s="212"/>
      <c r="AI50" s="212"/>
      <c r="AJ50" s="212"/>
      <c r="AK50" s="212"/>
      <c r="AL50" s="213"/>
      <c r="AM50" s="69"/>
      <c r="AQ50" s="70" t="s">
        <v>769</v>
      </c>
      <c r="AS50" s="70"/>
      <c r="AT50" s="70"/>
      <c r="AU50" s="70"/>
      <c r="AV50" s="70"/>
      <c r="AW50" s="70"/>
      <c r="AX50" s="70"/>
    </row>
    <row r="51" spans="1:50" ht="12" customHeight="1">
      <c r="A51" s="92" t="s">
        <v>659</v>
      </c>
      <c r="B51" s="15"/>
      <c r="C51" s="15"/>
      <c r="D51" s="15"/>
      <c r="E51" s="15"/>
      <c r="F51" s="15"/>
      <c r="G51" s="15"/>
      <c r="H51" s="251">
        <f>SUM(J51:O51)+IF(Bluff&gt;4,2,0)</f>
        <v>0</v>
      </c>
      <c r="I51" s="252"/>
      <c r="J51" s="331"/>
      <c r="K51" s="332"/>
      <c r="L51" s="260">
        <f>IF(G14=0,E14,I14)</f>
        <v>0</v>
      </c>
      <c r="M51" s="261"/>
      <c r="N51" s="337"/>
      <c r="O51" s="294"/>
      <c r="P51" s="93" t="s">
        <v>675</v>
      </c>
      <c r="Q51" s="91"/>
      <c r="R51" s="91"/>
      <c r="S51" s="91"/>
      <c r="T51" s="91"/>
      <c r="U51" s="91"/>
      <c r="V51" s="91"/>
      <c r="W51" s="251">
        <f aca="true" t="shared" si="1" ref="W51:W57">IF(Y51=0,"",SUM(Y51:AD51))</f>
      </c>
      <c r="X51" s="252"/>
      <c r="Y51" s="331"/>
      <c r="Z51" s="332"/>
      <c r="AA51" s="260">
        <f>IF(G14=0,E14,I14)</f>
        <v>0</v>
      </c>
      <c r="AB51" s="261"/>
      <c r="AC51" s="337"/>
      <c r="AD51" s="294"/>
      <c r="AE51" s="211"/>
      <c r="AF51" s="259"/>
      <c r="AG51" s="347"/>
      <c r="AH51" s="212"/>
      <c r="AI51" s="212"/>
      <c r="AJ51" s="212"/>
      <c r="AK51" s="212"/>
      <c r="AL51" s="213"/>
      <c r="AM51" s="69"/>
      <c r="AQ51" s="70" t="s">
        <v>770</v>
      </c>
      <c r="AS51" s="70"/>
      <c r="AT51" s="70"/>
      <c r="AU51" s="70"/>
      <c r="AV51" s="70"/>
      <c r="AW51" s="70"/>
      <c r="AX51" s="70"/>
    </row>
    <row r="52" spans="1:50" ht="12" customHeight="1">
      <c r="A52" s="92" t="s">
        <v>660</v>
      </c>
      <c r="B52" s="15"/>
      <c r="C52" s="15"/>
      <c r="D52" s="15"/>
      <c r="E52" s="15"/>
      <c r="F52" s="91"/>
      <c r="G52" s="91"/>
      <c r="H52" s="251">
        <f>SUM(J52:O52)+MIN(T20,MIN(Data!I11:I12))+(VLOOKUP(V2,Data!N3:AB36,6,FALSE))+IF(Tumble&gt;4,2,0)+Data!I21</f>
        <v>0</v>
      </c>
      <c r="I52" s="252"/>
      <c r="J52" s="331"/>
      <c r="K52" s="332"/>
      <c r="L52" s="260">
        <f>IF(G9=0,E9,I9)</f>
        <v>0</v>
      </c>
      <c r="M52" s="261"/>
      <c r="N52" s="337"/>
      <c r="O52" s="294"/>
      <c r="P52" s="454" t="s">
        <v>1001</v>
      </c>
      <c r="Q52" s="455"/>
      <c r="R52" s="455"/>
      <c r="S52" s="94" t="s">
        <v>1002</v>
      </c>
      <c r="T52" s="94"/>
      <c r="U52" s="94"/>
      <c r="V52" s="91"/>
      <c r="W52" s="251">
        <f t="shared" si="1"/>
      </c>
      <c r="X52" s="252"/>
      <c r="Y52" s="331"/>
      <c r="Z52" s="332"/>
      <c r="AA52" s="260">
        <f aca="true" t="shared" si="2" ref="AA52:AA57">IF($G$12=0,$E$12,$I$12)</f>
        <v>0</v>
      </c>
      <c r="AB52" s="261"/>
      <c r="AC52" s="337"/>
      <c r="AD52" s="294"/>
      <c r="AE52" s="214"/>
      <c r="AF52" s="257"/>
      <c r="AG52" s="258"/>
      <c r="AH52" s="215"/>
      <c r="AI52" s="215"/>
      <c r="AJ52" s="215"/>
      <c r="AK52" s="215"/>
      <c r="AL52" s="203"/>
      <c r="AM52" s="69"/>
      <c r="AQ52" s="70" t="s">
        <v>771</v>
      </c>
      <c r="AS52" s="70"/>
      <c r="AT52" s="70"/>
      <c r="AU52" s="70"/>
      <c r="AV52" s="70"/>
      <c r="AW52" s="70"/>
      <c r="AX52" s="70"/>
    </row>
    <row r="53" spans="1:50" ht="12" customHeight="1">
      <c r="A53" s="92" t="s">
        <v>685</v>
      </c>
      <c r="B53" s="15"/>
      <c r="C53" s="15"/>
      <c r="D53" s="15"/>
      <c r="E53" s="15"/>
      <c r="F53" s="91"/>
      <c r="G53" s="91"/>
      <c r="H53" s="251">
        <f>SUM(J53:O53)+(VLOOKUP(V2,Data!N3:AB36,7,FALSE))</f>
        <v>0</v>
      </c>
      <c r="I53" s="252"/>
      <c r="J53" s="331"/>
      <c r="K53" s="332"/>
      <c r="L53" s="260">
        <f>IF(G13=0,E13,I13)</f>
        <v>0</v>
      </c>
      <c r="M53" s="261"/>
      <c r="N53" s="337"/>
      <c r="O53" s="294"/>
      <c r="P53" s="454" t="s">
        <v>1001</v>
      </c>
      <c r="Q53" s="455"/>
      <c r="R53" s="455"/>
      <c r="S53" s="94" t="s">
        <v>1003</v>
      </c>
      <c r="T53" s="94"/>
      <c r="U53" s="94"/>
      <c r="V53" s="91"/>
      <c r="W53" s="251">
        <f t="shared" si="1"/>
      </c>
      <c r="X53" s="252"/>
      <c r="Y53" s="331"/>
      <c r="Z53" s="332"/>
      <c r="AA53" s="260">
        <f t="shared" si="2"/>
        <v>0</v>
      </c>
      <c r="AB53" s="261"/>
      <c r="AC53" s="337"/>
      <c r="AD53" s="294"/>
      <c r="AE53" s="469" t="s">
        <v>730</v>
      </c>
      <c r="AF53" s="470"/>
      <c r="AG53" s="470"/>
      <c r="AH53" s="470"/>
      <c r="AI53" s="470"/>
      <c r="AJ53" s="470"/>
      <c r="AK53" s="470"/>
      <c r="AL53" s="471"/>
      <c r="AM53" s="69"/>
      <c r="AQ53" s="70" t="s">
        <v>772</v>
      </c>
      <c r="AS53" s="70"/>
      <c r="AT53" s="70"/>
      <c r="AU53" s="70"/>
      <c r="AV53" s="70"/>
      <c r="AW53" s="70"/>
      <c r="AX53" s="70"/>
    </row>
    <row r="54" spans="1:45" ht="12" customHeight="1">
      <c r="A54" s="92" t="s">
        <v>661</v>
      </c>
      <c r="B54" s="15"/>
      <c r="C54" s="15"/>
      <c r="D54" s="15"/>
      <c r="E54" s="15"/>
      <c r="F54" s="91"/>
      <c r="G54" s="91"/>
      <c r="H54" s="251">
        <f>SUM(J54:O54)+MIN(T20,MIN(Data!I11:I12))+(VLOOKUP(V2,Data!N3:AB36,8,FALSE))</f>
        <v>0</v>
      </c>
      <c r="I54" s="252"/>
      <c r="J54" s="331"/>
      <c r="K54" s="332"/>
      <c r="L54" s="260">
        <f>IF(G10=0,E10,I10)</f>
        <v>0</v>
      </c>
      <c r="M54" s="261"/>
      <c r="N54" s="337"/>
      <c r="O54" s="294"/>
      <c r="P54" s="454" t="s">
        <v>1001</v>
      </c>
      <c r="Q54" s="455"/>
      <c r="R54" s="455"/>
      <c r="S54" s="94" t="s">
        <v>1004</v>
      </c>
      <c r="T54" s="94"/>
      <c r="U54" s="94"/>
      <c r="V54" s="91"/>
      <c r="W54" s="251">
        <f t="shared" si="1"/>
      </c>
      <c r="X54" s="252"/>
      <c r="Y54" s="331"/>
      <c r="Z54" s="332"/>
      <c r="AA54" s="260">
        <f t="shared" si="2"/>
        <v>0</v>
      </c>
      <c r="AB54" s="261"/>
      <c r="AC54" s="337"/>
      <c r="AD54" s="294"/>
      <c r="AE54" s="245"/>
      <c r="AF54" s="453"/>
      <c r="AG54" s="444"/>
      <c r="AH54" s="246"/>
      <c r="AI54" s="246"/>
      <c r="AJ54" s="246"/>
      <c r="AK54" s="246"/>
      <c r="AL54" s="247"/>
      <c r="AM54" s="20"/>
      <c r="AQ54" s="70" t="s">
        <v>773</v>
      </c>
      <c r="AS54" s="70"/>
    </row>
    <row r="55" spans="1:45" ht="12" customHeight="1">
      <c r="A55" s="92" t="s">
        <v>662</v>
      </c>
      <c r="B55" s="15"/>
      <c r="C55" s="15"/>
      <c r="D55" s="15"/>
      <c r="E55" s="15"/>
      <c r="F55" s="15"/>
      <c r="G55" s="15"/>
      <c r="H55" s="251">
        <f>SUM(J55:O55)+IF(HandleAnimal&gt;4,2,0)</f>
        <v>0</v>
      </c>
      <c r="I55" s="252"/>
      <c r="J55" s="331"/>
      <c r="K55" s="332"/>
      <c r="L55" s="260">
        <f>IF(G10=0,E10,I10)</f>
        <v>0</v>
      </c>
      <c r="M55" s="261"/>
      <c r="N55" s="337"/>
      <c r="O55" s="294"/>
      <c r="P55" s="454" t="s">
        <v>1001</v>
      </c>
      <c r="Q55" s="455"/>
      <c r="R55" s="455"/>
      <c r="S55" s="94" t="s">
        <v>1005</v>
      </c>
      <c r="T55" s="94"/>
      <c r="U55" s="94"/>
      <c r="V55" s="91"/>
      <c r="W55" s="251">
        <f t="shared" si="1"/>
      </c>
      <c r="X55" s="252"/>
      <c r="Y55" s="331"/>
      <c r="Z55" s="332"/>
      <c r="AA55" s="260">
        <f t="shared" si="2"/>
        <v>0</v>
      </c>
      <c r="AB55" s="261"/>
      <c r="AC55" s="337"/>
      <c r="AD55" s="294"/>
      <c r="AE55" s="211"/>
      <c r="AF55" s="259"/>
      <c r="AG55" s="347"/>
      <c r="AH55" s="212"/>
      <c r="AI55" s="212"/>
      <c r="AJ55" s="212"/>
      <c r="AK55" s="212"/>
      <c r="AL55" s="213"/>
      <c r="AM55" s="69"/>
      <c r="AQ55" s="70" t="s">
        <v>786</v>
      </c>
      <c r="AS55" s="70"/>
    </row>
    <row r="56" spans="1:45" ht="12" customHeight="1">
      <c r="A56" s="92" t="s">
        <v>663</v>
      </c>
      <c r="B56" s="15"/>
      <c r="C56" s="15"/>
      <c r="D56" s="15"/>
      <c r="E56" s="15"/>
      <c r="F56" s="15"/>
      <c r="G56" s="15"/>
      <c r="H56" s="251">
        <f>SUM(J56:O56)+(VLOOKUP(V2,Data!N3:AB36,9,FALSE))</f>
        <v>0</v>
      </c>
      <c r="I56" s="252"/>
      <c r="J56" s="331"/>
      <c r="K56" s="332"/>
      <c r="L56" s="260">
        <f>IF(G12=0,E12,I12)</f>
        <v>0</v>
      </c>
      <c r="M56" s="261"/>
      <c r="N56" s="337"/>
      <c r="O56" s="294"/>
      <c r="P56" s="454" t="s">
        <v>1001</v>
      </c>
      <c r="Q56" s="455"/>
      <c r="R56" s="455"/>
      <c r="S56" s="94" t="s">
        <v>1006</v>
      </c>
      <c r="T56" s="94"/>
      <c r="U56" s="94"/>
      <c r="V56" s="91"/>
      <c r="W56" s="251">
        <f t="shared" si="1"/>
      </c>
      <c r="X56" s="252"/>
      <c r="Y56" s="331"/>
      <c r="Z56" s="332"/>
      <c r="AA56" s="260">
        <f t="shared" si="2"/>
        <v>0</v>
      </c>
      <c r="AB56" s="261"/>
      <c r="AC56" s="337"/>
      <c r="AD56" s="294"/>
      <c r="AE56" s="211"/>
      <c r="AF56" s="259"/>
      <c r="AG56" s="347"/>
      <c r="AH56" s="212"/>
      <c r="AI56" s="212"/>
      <c r="AJ56" s="212"/>
      <c r="AK56" s="212"/>
      <c r="AL56" s="213"/>
      <c r="AM56" s="69"/>
      <c r="AQ56" s="70" t="s">
        <v>775</v>
      </c>
      <c r="AS56" s="70"/>
    </row>
    <row r="57" spans="1:43" ht="12" customHeight="1">
      <c r="A57" s="92" t="s">
        <v>686</v>
      </c>
      <c r="B57" s="15"/>
      <c r="C57" s="15"/>
      <c r="D57" s="15"/>
      <c r="E57" s="15"/>
      <c r="F57" s="91"/>
      <c r="G57" s="91"/>
      <c r="H57" s="251">
        <f>SUM(J57:O57)</f>
        <v>0</v>
      </c>
      <c r="I57" s="252"/>
      <c r="J57" s="331"/>
      <c r="K57" s="332"/>
      <c r="L57" s="260">
        <f>IF(G13=0,E13,I13)</f>
        <v>0</v>
      </c>
      <c r="M57" s="261"/>
      <c r="N57" s="337"/>
      <c r="O57" s="294"/>
      <c r="P57" s="454" t="s">
        <v>1001</v>
      </c>
      <c r="Q57" s="455"/>
      <c r="R57" s="455"/>
      <c r="S57" s="94" t="s">
        <v>1007</v>
      </c>
      <c r="T57" s="94"/>
      <c r="U57" s="94"/>
      <c r="V57" s="91"/>
      <c r="W57" s="251">
        <f t="shared" si="1"/>
      </c>
      <c r="X57" s="252"/>
      <c r="Y57" s="331"/>
      <c r="Z57" s="332"/>
      <c r="AA57" s="260">
        <f t="shared" si="2"/>
        <v>0</v>
      </c>
      <c r="AB57" s="261"/>
      <c r="AC57" s="337"/>
      <c r="AD57" s="294"/>
      <c r="AE57" s="211"/>
      <c r="AF57" s="259"/>
      <c r="AG57" s="347"/>
      <c r="AH57" s="212"/>
      <c r="AI57" s="212"/>
      <c r="AJ57" s="212"/>
      <c r="AK57" s="212"/>
      <c r="AL57" s="213"/>
      <c r="AM57" s="69"/>
      <c r="AQ57" s="70" t="s">
        <v>774</v>
      </c>
    </row>
    <row r="58" spans="1:43" ht="12" customHeight="1">
      <c r="A58" s="92" t="s">
        <v>664</v>
      </c>
      <c r="B58" s="15"/>
      <c r="C58" s="15"/>
      <c r="D58" s="15"/>
      <c r="E58" s="15"/>
      <c r="F58" s="91"/>
      <c r="G58" s="91"/>
      <c r="H58" s="251">
        <f>SUM(J58:O58)+(VLOOKUP(V2,Data!N3:AB36,10,FALSE))</f>
        <v>0</v>
      </c>
      <c r="I58" s="252"/>
      <c r="J58" s="331"/>
      <c r="K58" s="332"/>
      <c r="L58" s="260">
        <f>IF(G13=0,E13,I13)</f>
        <v>0</v>
      </c>
      <c r="M58" s="261"/>
      <c r="N58" s="337"/>
      <c r="O58" s="294"/>
      <c r="P58" s="454" t="s">
        <v>1001</v>
      </c>
      <c r="Q58" s="455"/>
      <c r="R58" s="455"/>
      <c r="S58" s="94" t="s">
        <v>1008</v>
      </c>
      <c r="T58" s="94"/>
      <c r="U58" s="94"/>
      <c r="V58" s="91"/>
      <c r="W58" s="251">
        <f>IF(Y58=0,"",SUM(Y58:AD58,IF(Survival&gt;4,2,0)))</f>
      </c>
      <c r="X58" s="252"/>
      <c r="Y58" s="331"/>
      <c r="Z58" s="332"/>
      <c r="AA58" s="260">
        <f>IF($G$12=0,$E$12,$I$12)</f>
        <v>0</v>
      </c>
      <c r="AB58" s="261"/>
      <c r="AC58" s="337"/>
      <c r="AD58" s="294"/>
      <c r="AE58" s="211"/>
      <c r="AF58" s="259"/>
      <c r="AG58" s="347"/>
      <c r="AH58" s="212"/>
      <c r="AI58" s="212"/>
      <c r="AJ58" s="212"/>
      <c r="AK58" s="212"/>
      <c r="AL58" s="213"/>
      <c r="AM58" s="69"/>
      <c r="AQ58" s="3" t="s">
        <v>781</v>
      </c>
    </row>
    <row r="59" spans="1:43" ht="12" customHeight="1">
      <c r="A59" s="92" t="s">
        <v>980</v>
      </c>
      <c r="B59" s="15"/>
      <c r="C59" s="15"/>
      <c r="D59" s="15"/>
      <c r="E59" s="15"/>
      <c r="F59" s="91"/>
      <c r="G59" s="91"/>
      <c r="H59" s="251">
        <f>SUM(J59:O59)+IF(AND(K_Dungeon&gt;4,K_Nature&gt;4,K_Planes&gt;4),2,0)</f>
        <v>0</v>
      </c>
      <c r="I59" s="252"/>
      <c r="J59" s="331"/>
      <c r="K59" s="332"/>
      <c r="L59" s="260">
        <f>IF(G13=0,E13,I13)</f>
        <v>0</v>
      </c>
      <c r="M59" s="261"/>
      <c r="N59" s="337"/>
      <c r="O59" s="294"/>
      <c r="P59" s="454" t="s">
        <v>1001</v>
      </c>
      <c r="Q59" s="455"/>
      <c r="R59" s="455"/>
      <c r="S59" s="94" t="s">
        <v>1009</v>
      </c>
      <c r="T59" s="94"/>
      <c r="U59" s="94"/>
      <c r="V59" s="91"/>
      <c r="W59" s="251">
        <f>IF(Y59=0,"",SUM(Y59:AD59))</f>
      </c>
      <c r="X59" s="252"/>
      <c r="Y59" s="331"/>
      <c r="Z59" s="332"/>
      <c r="AA59" s="260">
        <f>IF($G$12=0,$E$12,$I$12)</f>
        <v>0</v>
      </c>
      <c r="AB59" s="261"/>
      <c r="AC59" s="337"/>
      <c r="AD59" s="294"/>
      <c r="AE59" s="211"/>
      <c r="AF59" s="259"/>
      <c r="AG59" s="347"/>
      <c r="AH59" s="212"/>
      <c r="AI59" s="212"/>
      <c r="AJ59" s="212"/>
      <c r="AK59" s="212"/>
      <c r="AL59" s="213"/>
      <c r="AM59" s="69"/>
      <c r="AQ59" s="3" t="s">
        <v>776</v>
      </c>
    </row>
    <row r="60" spans="1:43" ht="12" customHeight="1">
      <c r="A60" s="92" t="s">
        <v>665</v>
      </c>
      <c r="B60" s="15"/>
      <c r="C60" s="15"/>
      <c r="D60" s="15"/>
      <c r="E60" s="15"/>
      <c r="F60" s="91"/>
      <c r="G60" s="91"/>
      <c r="H60" s="251">
        <f>SUM(J60:O60)+2*MIN(T20,MIN(Data!I11:I12))</f>
        <v>0</v>
      </c>
      <c r="I60" s="252"/>
      <c r="J60" s="331"/>
      <c r="K60" s="332"/>
      <c r="L60" s="260">
        <f>IF(G9=0,E9,I9)</f>
        <v>0</v>
      </c>
      <c r="M60" s="261"/>
      <c r="N60" s="337"/>
      <c r="O60" s="294"/>
      <c r="P60" s="454" t="s">
        <v>1001</v>
      </c>
      <c r="Q60" s="455"/>
      <c r="R60" s="455"/>
      <c r="S60" s="94" t="s">
        <v>1010</v>
      </c>
      <c r="T60" s="94"/>
      <c r="U60" s="94"/>
      <c r="V60" s="91"/>
      <c r="W60" s="251">
        <f>IF(Y60=0,"",SUM(Y60:AD60))</f>
      </c>
      <c r="X60" s="252"/>
      <c r="Y60" s="331"/>
      <c r="Z60" s="332"/>
      <c r="AA60" s="260">
        <f>IF($G$12=0,$E$12,$I$12)</f>
        <v>0</v>
      </c>
      <c r="AB60" s="261"/>
      <c r="AC60" s="337"/>
      <c r="AD60" s="294"/>
      <c r="AE60" s="211"/>
      <c r="AF60" s="259"/>
      <c r="AG60" s="347"/>
      <c r="AH60" s="212"/>
      <c r="AI60" s="212"/>
      <c r="AJ60" s="212"/>
      <c r="AK60" s="212"/>
      <c r="AL60" s="213"/>
      <c r="AM60" s="69"/>
      <c r="AQ60" s="3" t="s">
        <v>782</v>
      </c>
    </row>
    <row r="61" spans="1:45" ht="12" customHeight="1">
      <c r="A61" s="92" t="s">
        <v>669</v>
      </c>
      <c r="B61" s="15"/>
      <c r="C61" s="15"/>
      <c r="D61" s="15"/>
      <c r="E61" s="15"/>
      <c r="F61" s="91"/>
      <c r="G61" s="91"/>
      <c r="H61" s="251">
        <f>SUM(J61:O61)</f>
        <v>0</v>
      </c>
      <c r="I61" s="252"/>
      <c r="J61" s="331"/>
      <c r="K61" s="332"/>
      <c r="L61" s="260">
        <f>IF(G10=0,E10,I10)</f>
        <v>0</v>
      </c>
      <c r="M61" s="261"/>
      <c r="N61" s="337"/>
      <c r="O61" s="294"/>
      <c r="P61" s="454" t="s">
        <v>1001</v>
      </c>
      <c r="Q61" s="455"/>
      <c r="R61" s="455"/>
      <c r="S61" s="94" t="s">
        <v>1011</v>
      </c>
      <c r="T61" s="94"/>
      <c r="U61" s="94"/>
      <c r="V61" s="91"/>
      <c r="W61" s="251">
        <f>IF(Y61=0,"",SUM(Y61:AD61))</f>
      </c>
      <c r="X61" s="252"/>
      <c r="Y61" s="331"/>
      <c r="Z61" s="332"/>
      <c r="AA61" s="260">
        <f>IF($G$13=0,$E$13,$I$13)</f>
        <v>0</v>
      </c>
      <c r="AB61" s="261"/>
      <c r="AC61" s="337"/>
      <c r="AD61" s="294"/>
      <c r="AE61" s="214"/>
      <c r="AF61" s="257"/>
      <c r="AG61" s="258"/>
      <c r="AH61" s="215"/>
      <c r="AI61" s="215"/>
      <c r="AJ61" s="215"/>
      <c r="AK61" s="215"/>
      <c r="AL61" s="203"/>
      <c r="AM61" s="69"/>
      <c r="AO61" s="4"/>
      <c r="AP61" s="4" t="s">
        <v>794</v>
      </c>
      <c r="AQ61" s="461"/>
      <c r="AR61" s="462"/>
      <c r="AS61" s="463"/>
    </row>
    <row r="62" spans="1:38" ht="12" customHeight="1">
      <c r="A62" s="472" t="s">
        <v>746</v>
      </c>
      <c r="B62" s="473"/>
      <c r="C62" s="473"/>
      <c r="D62" s="473"/>
      <c r="E62" s="473"/>
      <c r="F62" s="473"/>
      <c r="G62" s="473"/>
      <c r="H62" s="473"/>
      <c r="I62" s="473"/>
      <c r="J62" s="473"/>
      <c r="K62" s="473"/>
      <c r="L62" s="473"/>
      <c r="M62" s="473"/>
      <c r="N62" s="473"/>
      <c r="O62" s="474"/>
      <c r="P62" s="482" t="s">
        <v>1012</v>
      </c>
      <c r="Q62" s="483"/>
      <c r="R62" s="483"/>
      <c r="S62" s="116"/>
      <c r="T62" s="116"/>
      <c r="U62" s="116"/>
      <c r="V62" s="95"/>
      <c r="W62" s="475">
        <f>IF(Y62=0,"",SUM(Y62:AD62))</f>
      </c>
      <c r="X62" s="476"/>
      <c r="Y62" s="477"/>
      <c r="Z62" s="478"/>
      <c r="AA62" s="265">
        <f>IF($G$13=0,$E$13,$I$13)</f>
        <v>0</v>
      </c>
      <c r="AB62" s="479"/>
      <c r="AC62" s="480"/>
      <c r="AD62" s="481"/>
      <c r="AE62" s="456" t="s">
        <v>968</v>
      </c>
      <c r="AF62" s="457"/>
      <c r="AG62" s="457"/>
      <c r="AH62" s="457"/>
      <c r="AI62" s="457"/>
      <c r="AJ62" s="458"/>
      <c r="AK62" s="255"/>
      <c r="AL62" s="256"/>
    </row>
  </sheetData>
  <sheetProtection formatCells="0" formatColumns="0" formatRows="0"/>
  <mergeCells count="548">
    <mergeCell ref="P55:R55"/>
    <mergeCell ref="P62:R62"/>
    <mergeCell ref="P56:R56"/>
    <mergeCell ref="P57:R57"/>
    <mergeCell ref="P58:R58"/>
    <mergeCell ref="P59:R59"/>
    <mergeCell ref="S39:V39"/>
    <mergeCell ref="W39:X39"/>
    <mergeCell ref="Y39:Z39"/>
    <mergeCell ref="W52:X52"/>
    <mergeCell ref="Y52:Z52"/>
    <mergeCell ref="Y51:Z51"/>
    <mergeCell ref="W40:X40"/>
    <mergeCell ref="Y43:Z43"/>
    <mergeCell ref="W43:X43"/>
    <mergeCell ref="Y42:Z42"/>
    <mergeCell ref="W62:X62"/>
    <mergeCell ref="Y62:Z62"/>
    <mergeCell ref="AA62:AB62"/>
    <mergeCell ref="AC62:AD62"/>
    <mergeCell ref="H44:I44"/>
    <mergeCell ref="A62:O62"/>
    <mergeCell ref="H53:I53"/>
    <mergeCell ref="H55:I55"/>
    <mergeCell ref="H56:I56"/>
    <mergeCell ref="H57:I57"/>
    <mergeCell ref="L57:M57"/>
    <mergeCell ref="J53:K53"/>
    <mergeCell ref="N57:O57"/>
    <mergeCell ref="L55:M55"/>
    <mergeCell ref="H47:I47"/>
    <mergeCell ref="H48:I48"/>
    <mergeCell ref="H45:I45"/>
    <mergeCell ref="H46:I46"/>
    <mergeCell ref="L45:M45"/>
    <mergeCell ref="L46:M46"/>
    <mergeCell ref="J49:K49"/>
    <mergeCell ref="J52:K52"/>
    <mergeCell ref="L51:M51"/>
    <mergeCell ref="J45:K45"/>
    <mergeCell ref="J46:K46"/>
    <mergeCell ref="J48:K48"/>
    <mergeCell ref="P53:R53"/>
    <mergeCell ref="P54:R54"/>
    <mergeCell ref="L47:M47"/>
    <mergeCell ref="L48:M48"/>
    <mergeCell ref="L54:M54"/>
    <mergeCell ref="L53:M53"/>
    <mergeCell ref="N46:O46"/>
    <mergeCell ref="N47:O47"/>
    <mergeCell ref="N48:O48"/>
    <mergeCell ref="AA52:AB52"/>
    <mergeCell ref="P52:R52"/>
    <mergeCell ref="N49:O49"/>
    <mergeCell ref="N50:O50"/>
    <mergeCell ref="N51:O51"/>
    <mergeCell ref="W48:X48"/>
    <mergeCell ref="W50:X50"/>
    <mergeCell ref="AQ61:AS61"/>
    <mergeCell ref="AK18:AL18"/>
    <mergeCell ref="AK19:AL19"/>
    <mergeCell ref="AK20:AL20"/>
    <mergeCell ref="AK27:AL27"/>
    <mergeCell ref="AK28:AL28"/>
    <mergeCell ref="AE53:AL53"/>
    <mergeCell ref="AG42:AL42"/>
    <mergeCell ref="AG43:AL43"/>
    <mergeCell ref="AG51:AL51"/>
    <mergeCell ref="AI28:AJ28"/>
    <mergeCell ref="AG28:AH28"/>
    <mergeCell ref="AI19:AJ19"/>
    <mergeCell ref="J61:K61"/>
    <mergeCell ref="J60:K60"/>
    <mergeCell ref="L58:M58"/>
    <mergeCell ref="L61:M61"/>
    <mergeCell ref="AC57:AD57"/>
    <mergeCell ref="L59:M59"/>
    <mergeCell ref="L60:M60"/>
    <mergeCell ref="AE62:AJ62"/>
    <mergeCell ref="N58:O58"/>
    <mergeCell ref="N59:O59"/>
    <mergeCell ref="N61:O61"/>
    <mergeCell ref="N60:O60"/>
    <mergeCell ref="Y59:Z59"/>
    <mergeCell ref="AE58:AF58"/>
    <mergeCell ref="AG58:AL58"/>
    <mergeCell ref="AE59:AF59"/>
    <mergeCell ref="Y61:Z61"/>
    <mergeCell ref="H61:I61"/>
    <mergeCell ref="AA61:AB61"/>
    <mergeCell ref="W60:X60"/>
    <mergeCell ref="Y60:Z60"/>
    <mergeCell ref="AA60:AB60"/>
    <mergeCell ref="P60:R60"/>
    <mergeCell ref="P61:R61"/>
    <mergeCell ref="H60:I60"/>
    <mergeCell ref="AC59:AD59"/>
    <mergeCell ref="AE54:AF54"/>
    <mergeCell ref="AC51:AD51"/>
    <mergeCell ref="AC46:AD46"/>
    <mergeCell ref="AC48:AD48"/>
    <mergeCell ref="AC50:AD50"/>
    <mergeCell ref="AC53:AD53"/>
    <mergeCell ref="AC54:AD54"/>
    <mergeCell ref="AC52:AD52"/>
    <mergeCell ref="AC61:AD61"/>
    <mergeCell ref="AA59:AB59"/>
    <mergeCell ref="AG59:AL59"/>
    <mergeCell ref="AE56:AF56"/>
    <mergeCell ref="AG56:AL56"/>
    <mergeCell ref="AE57:AF57"/>
    <mergeCell ref="AG57:AL57"/>
    <mergeCell ref="AC58:AD58"/>
    <mergeCell ref="AC60:AD60"/>
    <mergeCell ref="AG60:AL60"/>
    <mergeCell ref="AC27:AF27"/>
    <mergeCell ref="Y27:AB27"/>
    <mergeCell ref="AE18:AF18"/>
    <mergeCell ref="AC18:AD18"/>
    <mergeCell ref="AA19:AB19"/>
    <mergeCell ref="AA18:AB18"/>
    <mergeCell ref="AG54:AL54"/>
    <mergeCell ref="AE55:AF55"/>
    <mergeCell ref="AG55:AL55"/>
    <mergeCell ref="AE30:AL30"/>
    <mergeCell ref="AE40:AF40"/>
    <mergeCell ref="AE39:AF39"/>
    <mergeCell ref="AG39:AL39"/>
    <mergeCell ref="AE46:AF46"/>
    <mergeCell ref="AE47:AF47"/>
    <mergeCell ref="AE45:AF45"/>
    <mergeCell ref="M8:Q8"/>
    <mergeCell ref="P40:R40"/>
    <mergeCell ref="S40:V40"/>
    <mergeCell ref="AC28:AF28"/>
    <mergeCell ref="AE19:AF19"/>
    <mergeCell ref="AE24:AL24"/>
    <mergeCell ref="Y28:AB28"/>
    <mergeCell ref="R19:S19"/>
    <mergeCell ref="V19:W19"/>
    <mergeCell ref="AA30:AB30"/>
    <mergeCell ref="A1:L1"/>
    <mergeCell ref="U8:Y8"/>
    <mergeCell ref="P4:Q4"/>
    <mergeCell ref="S2:U2"/>
    <mergeCell ref="S3:U3"/>
    <mergeCell ref="V2:Z2"/>
    <mergeCell ref="I8:J8"/>
    <mergeCell ref="H4:I4"/>
    <mergeCell ref="L4:M4"/>
    <mergeCell ref="U7:AG7"/>
    <mergeCell ref="AG19:AH19"/>
    <mergeCell ref="AA25:AL25"/>
    <mergeCell ref="T22:Y22"/>
    <mergeCell ref="V20:W20"/>
    <mergeCell ref="AC19:AD19"/>
    <mergeCell ref="AA20:AB20"/>
    <mergeCell ref="AC20:AD20"/>
    <mergeCell ref="T20:U20"/>
    <mergeCell ref="T23:Y25"/>
    <mergeCell ref="Y20:Z20"/>
    <mergeCell ref="P42:R42"/>
    <mergeCell ref="S41:V41"/>
    <mergeCell ref="AN37:AO37"/>
    <mergeCell ref="AE38:AL38"/>
    <mergeCell ref="AA40:AB40"/>
    <mergeCell ref="W38:X38"/>
    <mergeCell ref="P38:V38"/>
    <mergeCell ref="AE41:AF41"/>
    <mergeCell ref="AG41:AL41"/>
    <mergeCell ref="P39:R39"/>
    <mergeCell ref="H39:I39"/>
    <mergeCell ref="H38:I38"/>
    <mergeCell ref="J38:K38"/>
    <mergeCell ref="L38:M38"/>
    <mergeCell ref="AI18:AJ18"/>
    <mergeCell ref="AE31:AL31"/>
    <mergeCell ref="AG20:AH20"/>
    <mergeCell ref="AE22:AL22"/>
    <mergeCell ref="AI20:AJ20"/>
    <mergeCell ref="AG27:AH27"/>
    <mergeCell ref="AG18:AH18"/>
    <mergeCell ref="AI27:AJ27"/>
    <mergeCell ref="AE20:AF20"/>
    <mergeCell ref="AA23:AL23"/>
    <mergeCell ref="L7:Q7"/>
    <mergeCell ref="N18:O18"/>
    <mergeCell ref="P19:Q19"/>
    <mergeCell ref="U11:W11"/>
    <mergeCell ref="R18:S18"/>
    <mergeCell ref="R12:S12"/>
    <mergeCell ref="R13:S13"/>
    <mergeCell ref="M9:Q9"/>
    <mergeCell ref="V18:W18"/>
    <mergeCell ref="U9:W9"/>
    <mergeCell ref="M10:Q10"/>
    <mergeCell ref="M11:Q11"/>
    <mergeCell ref="U10:W10"/>
    <mergeCell ref="J17:K17"/>
    <mergeCell ref="L17:M17"/>
    <mergeCell ref="M12:Q12"/>
    <mergeCell ref="P17:Q17"/>
    <mergeCell ref="I13:J13"/>
    <mergeCell ref="N17:O17"/>
    <mergeCell ref="I12:J12"/>
    <mergeCell ref="AI17:AJ17"/>
    <mergeCell ref="Y16:AL16"/>
    <mergeCell ref="AJ12:AL12"/>
    <mergeCell ref="AF13:AI14"/>
    <mergeCell ref="U12:AE12"/>
    <mergeCell ref="V17:W17"/>
    <mergeCell ref="AG17:AH17"/>
    <mergeCell ref="U13:AE13"/>
    <mergeCell ref="U14:AE14"/>
    <mergeCell ref="AJ13:AL14"/>
    <mergeCell ref="L19:M19"/>
    <mergeCell ref="N19:O19"/>
    <mergeCell ref="Y18:Z18"/>
    <mergeCell ref="Y19:Z19"/>
    <mergeCell ref="T18:U18"/>
    <mergeCell ref="P18:Q18"/>
    <mergeCell ref="T19:U19"/>
    <mergeCell ref="AE17:AF17"/>
    <mergeCell ref="AK17:AL17"/>
    <mergeCell ref="G9:H9"/>
    <mergeCell ref="G10:H10"/>
    <mergeCell ref="I10:J10"/>
    <mergeCell ref="I11:J11"/>
    <mergeCell ref="AA17:AB17"/>
    <mergeCell ref="Y17:Z17"/>
    <mergeCell ref="AC17:AD17"/>
    <mergeCell ref="AF12:AI12"/>
    <mergeCell ref="M24:O24"/>
    <mergeCell ref="O28:P28"/>
    <mergeCell ref="M25:O25"/>
    <mergeCell ref="K22:L22"/>
    <mergeCell ref="J24:L24"/>
    <mergeCell ref="O23:P23"/>
    <mergeCell ref="J18:K18"/>
    <mergeCell ref="Q23:R23"/>
    <mergeCell ref="R20:S20"/>
    <mergeCell ref="Q27:R27"/>
    <mergeCell ref="P24:R24"/>
    <mergeCell ref="P25:R25"/>
    <mergeCell ref="O22:P22"/>
    <mergeCell ref="N20:O20"/>
    <mergeCell ref="P20:Q20"/>
    <mergeCell ref="J25:L25"/>
    <mergeCell ref="Y31:Z31"/>
    <mergeCell ref="Y30:Z30"/>
    <mergeCell ref="AA32:AB32"/>
    <mergeCell ref="AA31:AB31"/>
    <mergeCell ref="Y32:Z32"/>
    <mergeCell ref="Y38:Z38"/>
    <mergeCell ref="AA38:AB38"/>
    <mergeCell ref="AC38:AD38"/>
    <mergeCell ref="AC40:AD40"/>
    <mergeCell ref="AA39:AB39"/>
    <mergeCell ref="AC39:AD39"/>
    <mergeCell ref="AC30:AD30"/>
    <mergeCell ref="AC31:AD31"/>
    <mergeCell ref="AG40:AL40"/>
    <mergeCell ref="AC42:AD42"/>
    <mergeCell ref="AE42:AF42"/>
    <mergeCell ref="AC41:AD41"/>
    <mergeCell ref="AE36:AL36"/>
    <mergeCell ref="AC32:AD32"/>
    <mergeCell ref="AC33:AD33"/>
    <mergeCell ref="AC34:AD34"/>
    <mergeCell ref="AC43:AD43"/>
    <mergeCell ref="AC44:AD44"/>
    <mergeCell ref="AC47:AD47"/>
    <mergeCell ref="AA57:AB57"/>
    <mergeCell ref="AA50:AB50"/>
    <mergeCell ref="AA47:AB47"/>
    <mergeCell ref="AC49:AD49"/>
    <mergeCell ref="AC55:AD55"/>
    <mergeCell ref="AC56:AD56"/>
    <mergeCell ref="AC45:AD45"/>
    <mergeCell ref="AG44:AL44"/>
    <mergeCell ref="AG50:AL50"/>
    <mergeCell ref="AE48:AF48"/>
    <mergeCell ref="AG48:AL48"/>
    <mergeCell ref="AE49:AF49"/>
    <mergeCell ref="AG49:AL49"/>
    <mergeCell ref="AE50:AF50"/>
    <mergeCell ref="AG45:AL45"/>
    <mergeCell ref="AG46:AL46"/>
    <mergeCell ref="AG47:AL47"/>
    <mergeCell ref="AA53:AB53"/>
    <mergeCell ref="AA51:AB51"/>
    <mergeCell ref="Y54:Z54"/>
    <mergeCell ref="Y44:Z44"/>
    <mergeCell ref="AA54:AB54"/>
    <mergeCell ref="AA44:AB44"/>
    <mergeCell ref="AA48:AB48"/>
    <mergeCell ref="AA49:AB49"/>
    <mergeCell ref="Y50:Z50"/>
    <mergeCell ref="W58:X58"/>
    <mergeCell ref="W59:X59"/>
    <mergeCell ref="W61:X61"/>
    <mergeCell ref="AA58:AB58"/>
    <mergeCell ref="Y58:Z58"/>
    <mergeCell ref="Y57:Z57"/>
    <mergeCell ref="W55:X55"/>
    <mergeCell ref="W53:X53"/>
    <mergeCell ref="Y53:Z53"/>
    <mergeCell ref="W57:X57"/>
    <mergeCell ref="W54:X54"/>
    <mergeCell ref="Y55:Z55"/>
    <mergeCell ref="Y56:Z56"/>
    <mergeCell ref="AE43:AF43"/>
    <mergeCell ref="AE44:AF44"/>
    <mergeCell ref="AE51:AF51"/>
    <mergeCell ref="Y47:Z47"/>
    <mergeCell ref="Y48:Z48"/>
    <mergeCell ref="AA43:AB43"/>
    <mergeCell ref="AA46:AB46"/>
    <mergeCell ref="AA45:AB45"/>
    <mergeCell ref="Y45:Z45"/>
    <mergeCell ref="Y49:Z49"/>
    <mergeCell ref="N56:O56"/>
    <mergeCell ref="N54:O54"/>
    <mergeCell ref="N55:O55"/>
    <mergeCell ref="N53:O53"/>
    <mergeCell ref="L56:M56"/>
    <mergeCell ref="Y40:Z40"/>
    <mergeCell ref="Y46:Z46"/>
    <mergeCell ref="AA55:AB55"/>
    <mergeCell ref="AA42:AB42"/>
    <mergeCell ref="N45:O45"/>
    <mergeCell ref="L50:M50"/>
    <mergeCell ref="L49:M49"/>
    <mergeCell ref="L52:M52"/>
    <mergeCell ref="N52:O52"/>
    <mergeCell ref="N44:O44"/>
    <mergeCell ref="L40:M40"/>
    <mergeCell ref="H40:I40"/>
    <mergeCell ref="N42:O42"/>
    <mergeCell ref="J42:K42"/>
    <mergeCell ref="J43:K43"/>
    <mergeCell ref="J44:K44"/>
    <mergeCell ref="L42:M42"/>
    <mergeCell ref="L44:M44"/>
    <mergeCell ref="H42:I42"/>
    <mergeCell ref="W41:X41"/>
    <mergeCell ref="AA41:AB41"/>
    <mergeCell ref="Y41:Z41"/>
    <mergeCell ref="H43:I43"/>
    <mergeCell ref="W42:X42"/>
    <mergeCell ref="S42:V42"/>
    <mergeCell ref="N43:O43"/>
    <mergeCell ref="L43:M43"/>
    <mergeCell ref="P43:V43"/>
    <mergeCell ref="H41:I41"/>
    <mergeCell ref="P41:R41"/>
    <mergeCell ref="N39:O39"/>
    <mergeCell ref="J40:K40"/>
    <mergeCell ref="N41:O41"/>
    <mergeCell ref="J41:K41"/>
    <mergeCell ref="J39:K39"/>
    <mergeCell ref="N40:O40"/>
    <mergeCell ref="L41:M41"/>
    <mergeCell ref="L39:M39"/>
    <mergeCell ref="H59:I59"/>
    <mergeCell ref="H58:I58"/>
    <mergeCell ref="J56:K56"/>
    <mergeCell ref="J58:K58"/>
    <mergeCell ref="J59:K59"/>
    <mergeCell ref="J57:K57"/>
    <mergeCell ref="H54:I54"/>
    <mergeCell ref="J54:K54"/>
    <mergeCell ref="J55:K55"/>
    <mergeCell ref="J47:K47"/>
    <mergeCell ref="J50:K50"/>
    <mergeCell ref="H49:I49"/>
    <mergeCell ref="H50:I50"/>
    <mergeCell ref="J51:K51"/>
    <mergeCell ref="H52:I52"/>
    <mergeCell ref="H51:I51"/>
    <mergeCell ref="W31:X31"/>
    <mergeCell ref="S30:V30"/>
    <mergeCell ref="S31:V31"/>
    <mergeCell ref="W30:X30"/>
    <mergeCell ref="Q28:R28"/>
    <mergeCell ref="M27:N27"/>
    <mergeCell ref="M28:N28"/>
    <mergeCell ref="O27:P27"/>
    <mergeCell ref="T28:X28"/>
    <mergeCell ref="G24:I24"/>
    <mergeCell ref="K23:L23"/>
    <mergeCell ref="R17:S17"/>
    <mergeCell ref="T17:U17"/>
    <mergeCell ref="J19:K19"/>
    <mergeCell ref="L18:M18"/>
    <mergeCell ref="A18:I18"/>
    <mergeCell ref="A19:I19"/>
    <mergeCell ref="Q22:R22"/>
    <mergeCell ref="Z10:AA10"/>
    <mergeCell ref="Z11:AA11"/>
    <mergeCell ref="R7:S7"/>
    <mergeCell ref="R8:S8"/>
    <mergeCell ref="R11:S11"/>
    <mergeCell ref="R9:S9"/>
    <mergeCell ref="R10:S10"/>
    <mergeCell ref="X10:Y10"/>
    <mergeCell ref="X11:Y11"/>
    <mergeCell ref="X9:Y9"/>
    <mergeCell ref="Z8:AA8"/>
    <mergeCell ref="Z9:AA9"/>
    <mergeCell ref="AD9:AE9"/>
    <mergeCell ref="AH9:AJ9"/>
    <mergeCell ref="AH8:AJ8"/>
    <mergeCell ref="AF8:AG8"/>
    <mergeCell ref="AK10:AL10"/>
    <mergeCell ref="AH7:AL7"/>
    <mergeCell ref="AK11:AL11"/>
    <mergeCell ref="AH11:AJ11"/>
    <mergeCell ref="AH10:AJ10"/>
    <mergeCell ref="AK9:AL9"/>
    <mergeCell ref="AK8:AL8"/>
    <mergeCell ref="AF11:AG11"/>
    <mergeCell ref="AD8:AE8"/>
    <mergeCell ref="AB9:AC9"/>
    <mergeCell ref="AB10:AC10"/>
    <mergeCell ref="AD11:AE11"/>
    <mergeCell ref="AF9:AG9"/>
    <mergeCell ref="AB11:AC11"/>
    <mergeCell ref="AF10:AG10"/>
    <mergeCell ref="AD10:AE10"/>
    <mergeCell ref="AB8:AC8"/>
    <mergeCell ref="G11:H11"/>
    <mergeCell ref="A7:J7"/>
    <mergeCell ref="G8:H8"/>
    <mergeCell ref="A8:B8"/>
    <mergeCell ref="C8:D8"/>
    <mergeCell ref="E8:F8"/>
    <mergeCell ref="E9:F9"/>
    <mergeCell ref="I9:J9"/>
    <mergeCell ref="E10:F10"/>
    <mergeCell ref="E11:F11"/>
    <mergeCell ref="E13:F13"/>
    <mergeCell ref="G12:H12"/>
    <mergeCell ref="G13:H13"/>
    <mergeCell ref="E12:F12"/>
    <mergeCell ref="A13:B13"/>
    <mergeCell ref="A9:B9"/>
    <mergeCell ref="C10:D10"/>
    <mergeCell ref="C11:D11"/>
    <mergeCell ref="A10:B10"/>
    <mergeCell ref="A11:B11"/>
    <mergeCell ref="A12:B12"/>
    <mergeCell ref="C12:D12"/>
    <mergeCell ref="C9:D9"/>
    <mergeCell ref="C13:D13"/>
    <mergeCell ref="E14:F14"/>
    <mergeCell ref="A16:W16"/>
    <mergeCell ref="I14:J14"/>
    <mergeCell ref="G14:H14"/>
    <mergeCell ref="R14:S14"/>
    <mergeCell ref="AK62:AL62"/>
    <mergeCell ref="W51:X51"/>
    <mergeCell ref="W49:X49"/>
    <mergeCell ref="AE52:AF52"/>
    <mergeCell ref="AG61:AL61"/>
    <mergeCell ref="AE60:AF60"/>
    <mergeCell ref="AE61:AF61"/>
    <mergeCell ref="W56:X56"/>
    <mergeCell ref="AA56:AB56"/>
    <mergeCell ref="AG52:AL52"/>
    <mergeCell ref="W45:X45"/>
    <mergeCell ref="W46:X46"/>
    <mergeCell ref="W44:X44"/>
    <mergeCell ref="W47:X47"/>
    <mergeCell ref="O36:R36"/>
    <mergeCell ref="I32:N32"/>
    <mergeCell ref="I33:N33"/>
    <mergeCell ref="I34:N34"/>
    <mergeCell ref="I35:N35"/>
    <mergeCell ref="I36:N36"/>
    <mergeCell ref="O32:R32"/>
    <mergeCell ref="O33:R33"/>
    <mergeCell ref="O34:R34"/>
    <mergeCell ref="O35:R35"/>
    <mergeCell ref="A28:D28"/>
    <mergeCell ref="E27:H27"/>
    <mergeCell ref="N38:O38"/>
    <mergeCell ref="A31:H31"/>
    <mergeCell ref="O31:R31"/>
    <mergeCell ref="I31:N31"/>
    <mergeCell ref="I30:N30"/>
    <mergeCell ref="O30:R30"/>
    <mergeCell ref="A38:G38"/>
    <mergeCell ref="A32:H32"/>
    <mergeCell ref="T4:U4"/>
    <mergeCell ref="X4:Z4"/>
    <mergeCell ref="A30:H30"/>
    <mergeCell ref="C14:D14"/>
    <mergeCell ref="A14:B14"/>
    <mergeCell ref="A22:E25"/>
    <mergeCell ref="I28:L28"/>
    <mergeCell ref="I27:L27"/>
    <mergeCell ref="E28:H28"/>
    <mergeCell ref="G25:I25"/>
    <mergeCell ref="AA5:AL5"/>
    <mergeCell ref="F3:R3"/>
    <mergeCell ref="V3:Z3"/>
    <mergeCell ref="F2:R2"/>
    <mergeCell ref="O5:P5"/>
    <mergeCell ref="Q5:T5"/>
    <mergeCell ref="W5:Z5"/>
    <mergeCell ref="U5:V5"/>
    <mergeCell ref="D5:N5"/>
    <mergeCell ref="D4:E4"/>
    <mergeCell ref="A33:H33"/>
    <mergeCell ref="A34:H34"/>
    <mergeCell ref="A35:H35"/>
    <mergeCell ref="A36:H36"/>
    <mergeCell ref="AC35:AD35"/>
    <mergeCell ref="AC36:AD36"/>
    <mergeCell ref="AE32:AL32"/>
    <mergeCell ref="AE33:AL33"/>
    <mergeCell ref="AE34:AL34"/>
    <mergeCell ref="AE35:AL35"/>
    <mergeCell ref="AA35:AB35"/>
    <mergeCell ref="AA36:AB36"/>
    <mergeCell ref="Y33:Z33"/>
    <mergeCell ref="Y34:Z34"/>
    <mergeCell ref="Y35:Z35"/>
    <mergeCell ref="Y36:Z36"/>
    <mergeCell ref="AA33:AB33"/>
    <mergeCell ref="AA34:AB34"/>
    <mergeCell ref="W36:X36"/>
    <mergeCell ref="S32:V32"/>
    <mergeCell ref="S33:V33"/>
    <mergeCell ref="S34:V34"/>
    <mergeCell ref="S35:V35"/>
    <mergeCell ref="S36:V36"/>
    <mergeCell ref="W32:X32"/>
    <mergeCell ref="W33:X33"/>
    <mergeCell ref="W34:X34"/>
    <mergeCell ref="W35:X35"/>
    <mergeCell ref="G21:H21"/>
    <mergeCell ref="G22:H23"/>
    <mergeCell ref="I22:J22"/>
    <mergeCell ref="M22:N22"/>
    <mergeCell ref="I23:J23"/>
    <mergeCell ref="M23:N23"/>
  </mergeCells>
  <dataValidations count="11">
    <dataValidation type="list" allowBlank="1" showInputMessage="1" showErrorMessage="1" sqref="D4:E4">
      <formula1>"LG,NG,CG,LN,N,CN,LE,NE,CE"</formula1>
    </dataValidation>
    <dataValidation type="list" allowBlank="1" showInputMessage="1" showErrorMessage="1" sqref="L18:M19">
      <formula1>"L,M,H,Shield"</formula1>
    </dataValidation>
    <dataValidation type="list" allowBlank="1" showInputMessage="1" showErrorMessage="1" sqref="AC31:AC36">
      <formula1>"B,S,P,B/S,B/P,B/S/P,S/P"</formula1>
    </dataValidation>
    <dataValidation allowBlank="1" showInputMessage="1" showErrorMessage="1" promptTitle="Insert a SUM formula here" prompt="example:&#10;=SUM(J52:K53,J55:K57)" sqref="AO39"/>
    <dataValidation allowBlank="1" showInputMessage="1" showErrorMessage="1" prompt="Put your total skill points here" sqref="AK62"/>
    <dataValidation type="whole" operator="lessThan" allowBlank="1" showInputMessage="1" showErrorMessage="1" sqref="T18:U19">
      <formula1>1</formula1>
    </dataValidation>
    <dataValidation allowBlank="1" showInputMessage="1" showErrorMessage="1" promptTitle="Insert a SUM*2 formula here" prompt="example:&#10;=SUM(J52:K53,J55:K57)*2" sqref="AO40"/>
    <dataValidation allowBlank="1" showInputMessage="1" showErrorMessage="1" prompt="2 ranks per language" sqref="AO41"/>
    <dataValidation allowBlank="1" showInputMessage="1" showErrorMessage="1" prompt="List source here&#10;F1 = 1st fighter feat&#10;H = human&#10;etc..." sqref="AE39:AE52"/>
    <dataValidation allowBlank="1" showInputMessage="1" showErrorMessage="1" prompt="List source here&#10;$ = purchased with skill points" sqref="AE54:AE61"/>
    <dataValidation type="list" allowBlank="1" showInputMessage="1" showErrorMessage="1" sqref="V2:Z2">
      <formula1>$AQ$30:$AQ$61</formula1>
    </dataValidation>
  </dataValidations>
  <printOptions horizontalCentered="1" verticalCentered="1"/>
  <pageMargins left="0.5" right="0.4" top="0.35" bottom="0.35" header="0" footer="0"/>
  <pageSetup horizontalDpi="300" verticalDpi="300" orientation="portrait" r:id="rId2"/>
  <ignoredErrors>
    <ignoredError sqref="AC18:AF20" numberStoredAsText="1"/>
    <ignoredError sqref="AA48 AA45" formula="1"/>
  </ignoredErrors>
  <drawing r:id="rId1"/>
</worksheet>
</file>

<file path=xl/worksheets/sheet3.xml><?xml version="1.0" encoding="utf-8"?>
<worksheet xmlns="http://schemas.openxmlformats.org/spreadsheetml/2006/main" xmlns:r="http://schemas.openxmlformats.org/officeDocument/2006/relationships">
  <sheetPr>
    <tabColor indexed="18"/>
    <pageSetUpPr fitToPage="1"/>
  </sheetPr>
  <dimension ref="A1:AU62"/>
  <sheetViews>
    <sheetView showGridLines="0" workbookViewId="0" topLeftCell="A1">
      <selection activeCell="D2" sqref="D2:L2"/>
    </sheetView>
  </sheetViews>
  <sheetFormatPr defaultColWidth="9.140625" defaultRowHeight="12.75"/>
  <cols>
    <col min="1" max="40" width="2.57421875" style="3" customWidth="1"/>
    <col min="41" max="41" width="4.140625" style="3" customWidth="1"/>
    <col min="42" max="56" width="3.7109375" style="3" customWidth="1"/>
    <col min="57" max="16384" width="2.57421875" style="3" customWidth="1"/>
  </cols>
  <sheetData>
    <row r="1" spans="1:40" ht="13.5">
      <c r="A1" s="264" t="s">
        <v>954</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2"/>
      <c r="AN1" s="22"/>
    </row>
    <row r="2" spans="1:40" ht="12" customHeight="1">
      <c r="A2" s="628" t="s">
        <v>732</v>
      </c>
      <c r="B2" s="629"/>
      <c r="C2" s="629"/>
      <c r="D2" s="397"/>
      <c r="E2" s="397"/>
      <c r="F2" s="397"/>
      <c r="G2" s="397"/>
      <c r="H2" s="397"/>
      <c r="I2" s="397"/>
      <c r="J2" s="397"/>
      <c r="K2" s="397"/>
      <c r="L2" s="397"/>
      <c r="M2" s="628" t="s">
        <v>733</v>
      </c>
      <c r="N2" s="629"/>
      <c r="O2" s="397"/>
      <c r="P2" s="397"/>
      <c r="Q2" s="397"/>
      <c r="R2" s="397"/>
      <c r="S2" s="397"/>
      <c r="T2" s="397"/>
      <c r="U2" s="397"/>
      <c r="V2" s="397"/>
      <c r="W2" s="397"/>
      <c r="X2" s="397"/>
      <c r="Y2" s="397"/>
      <c r="Z2" s="398"/>
      <c r="AA2" s="629" t="s">
        <v>734</v>
      </c>
      <c r="AB2" s="629"/>
      <c r="AC2" s="630"/>
      <c r="AD2" s="630"/>
      <c r="AE2" s="630"/>
      <c r="AF2" s="630"/>
      <c r="AG2" s="630"/>
      <c r="AH2" s="630"/>
      <c r="AI2" s="630"/>
      <c r="AJ2" s="630"/>
      <c r="AK2" s="630"/>
      <c r="AL2" s="631"/>
      <c r="AM2" s="54"/>
      <c r="AN2" s="54"/>
    </row>
    <row r="3" spans="1:40" ht="12" customHeight="1">
      <c r="A3" s="206"/>
      <c r="B3" s="207"/>
      <c r="C3" s="207"/>
      <c r="D3" s="207"/>
      <c r="E3" s="207"/>
      <c r="F3" s="207"/>
      <c r="G3" s="207"/>
      <c r="H3" s="207"/>
      <c r="I3" s="207"/>
      <c r="J3" s="207"/>
      <c r="K3" s="207"/>
      <c r="L3" s="207"/>
      <c r="M3" s="206"/>
      <c r="N3" s="207"/>
      <c r="O3" s="207"/>
      <c r="P3" s="207"/>
      <c r="Q3" s="207"/>
      <c r="R3" s="207"/>
      <c r="S3" s="207"/>
      <c r="T3" s="207"/>
      <c r="U3" s="207"/>
      <c r="V3" s="207"/>
      <c r="W3" s="207"/>
      <c r="X3" s="207"/>
      <c r="Y3" s="207"/>
      <c r="Z3" s="208"/>
      <c r="AA3" s="207"/>
      <c r="AB3" s="207"/>
      <c r="AC3" s="207"/>
      <c r="AD3" s="207"/>
      <c r="AE3" s="207"/>
      <c r="AF3" s="207"/>
      <c r="AG3" s="207"/>
      <c r="AH3" s="207"/>
      <c r="AI3" s="207"/>
      <c r="AJ3" s="207"/>
      <c r="AK3" s="207"/>
      <c r="AL3" s="208"/>
      <c r="AM3" s="55"/>
      <c r="AN3" s="55"/>
    </row>
    <row r="4" spans="1:40" ht="12" customHeight="1">
      <c r="A4" s="206"/>
      <c r="B4" s="207"/>
      <c r="C4" s="207"/>
      <c r="D4" s="207"/>
      <c r="E4" s="207"/>
      <c r="F4" s="207"/>
      <c r="G4" s="207"/>
      <c r="H4" s="207"/>
      <c r="I4" s="207"/>
      <c r="J4" s="207"/>
      <c r="K4" s="207"/>
      <c r="L4" s="207"/>
      <c r="M4" s="206"/>
      <c r="N4" s="207"/>
      <c r="O4" s="207"/>
      <c r="P4" s="207"/>
      <c r="Q4" s="207"/>
      <c r="R4" s="207"/>
      <c r="S4" s="207"/>
      <c r="T4" s="207"/>
      <c r="U4" s="207"/>
      <c r="V4" s="207"/>
      <c r="W4" s="207"/>
      <c r="X4" s="207"/>
      <c r="Y4" s="207"/>
      <c r="Z4" s="208"/>
      <c r="AA4" s="207"/>
      <c r="AB4" s="207"/>
      <c r="AC4" s="207"/>
      <c r="AD4" s="207"/>
      <c r="AE4" s="207"/>
      <c r="AF4" s="207"/>
      <c r="AG4" s="207"/>
      <c r="AH4" s="207"/>
      <c r="AI4" s="207"/>
      <c r="AJ4" s="207"/>
      <c r="AK4" s="207"/>
      <c r="AL4" s="208"/>
      <c r="AM4" s="55"/>
      <c r="AN4" s="55"/>
    </row>
    <row r="5" spans="1:40" ht="12" customHeight="1">
      <c r="A5" s="206"/>
      <c r="B5" s="207"/>
      <c r="C5" s="207"/>
      <c r="D5" s="207"/>
      <c r="E5" s="207"/>
      <c r="F5" s="207"/>
      <c r="G5" s="207"/>
      <c r="H5" s="207"/>
      <c r="I5" s="207"/>
      <c r="J5" s="207"/>
      <c r="K5" s="207"/>
      <c r="L5" s="207"/>
      <c r="M5" s="206"/>
      <c r="N5" s="207"/>
      <c r="O5" s="207"/>
      <c r="P5" s="207"/>
      <c r="Q5" s="207"/>
      <c r="R5" s="207"/>
      <c r="S5" s="207"/>
      <c r="T5" s="207"/>
      <c r="U5" s="207"/>
      <c r="V5" s="207"/>
      <c r="W5" s="207"/>
      <c r="X5" s="207"/>
      <c r="Y5" s="207"/>
      <c r="Z5" s="208"/>
      <c r="AA5" s="207"/>
      <c r="AB5" s="207"/>
      <c r="AC5" s="207"/>
      <c r="AD5" s="207"/>
      <c r="AE5" s="207"/>
      <c r="AF5" s="207"/>
      <c r="AG5" s="207"/>
      <c r="AH5" s="207"/>
      <c r="AI5" s="207"/>
      <c r="AJ5" s="207"/>
      <c r="AK5" s="207"/>
      <c r="AL5" s="208"/>
      <c r="AM5" s="55"/>
      <c r="AN5" s="55"/>
    </row>
    <row r="6" spans="1:40" ht="12" customHeight="1">
      <c r="A6" s="206"/>
      <c r="B6" s="207"/>
      <c r="C6" s="207"/>
      <c r="D6" s="207"/>
      <c r="E6" s="207"/>
      <c r="F6" s="207"/>
      <c r="G6" s="207"/>
      <c r="H6" s="207"/>
      <c r="I6" s="207"/>
      <c r="J6" s="207"/>
      <c r="K6" s="207"/>
      <c r="L6" s="207"/>
      <c r="M6" s="206"/>
      <c r="N6" s="207"/>
      <c r="O6" s="207"/>
      <c r="P6" s="207"/>
      <c r="Q6" s="207"/>
      <c r="R6" s="207"/>
      <c r="S6" s="207"/>
      <c r="T6" s="207"/>
      <c r="U6" s="207"/>
      <c r="V6" s="207"/>
      <c r="W6" s="207"/>
      <c r="X6" s="207"/>
      <c r="Y6" s="207"/>
      <c r="Z6" s="208"/>
      <c r="AA6" s="207"/>
      <c r="AB6" s="207"/>
      <c r="AC6" s="207"/>
      <c r="AD6" s="207"/>
      <c r="AE6" s="207"/>
      <c r="AF6" s="207"/>
      <c r="AG6" s="207"/>
      <c r="AH6" s="207"/>
      <c r="AI6" s="207"/>
      <c r="AJ6" s="207"/>
      <c r="AK6" s="207"/>
      <c r="AL6" s="208"/>
      <c r="AM6" s="55"/>
      <c r="AN6" s="55"/>
    </row>
    <row r="7" spans="1:40" ht="12" customHeight="1">
      <c r="A7" s="206"/>
      <c r="B7" s="207"/>
      <c r="C7" s="207"/>
      <c r="D7" s="207"/>
      <c r="E7" s="207"/>
      <c r="F7" s="207"/>
      <c r="G7" s="207"/>
      <c r="H7" s="207"/>
      <c r="I7" s="207"/>
      <c r="J7" s="207"/>
      <c r="K7" s="207"/>
      <c r="L7" s="207"/>
      <c r="M7" s="206"/>
      <c r="N7" s="207"/>
      <c r="O7" s="207"/>
      <c r="P7" s="207"/>
      <c r="Q7" s="207"/>
      <c r="R7" s="207"/>
      <c r="S7" s="207"/>
      <c r="T7" s="207"/>
      <c r="U7" s="207"/>
      <c r="V7" s="207"/>
      <c r="W7" s="207"/>
      <c r="X7" s="207"/>
      <c r="Y7" s="207"/>
      <c r="Z7" s="208"/>
      <c r="AA7" s="207"/>
      <c r="AB7" s="207"/>
      <c r="AC7" s="207"/>
      <c r="AD7" s="207"/>
      <c r="AE7" s="207"/>
      <c r="AF7" s="207"/>
      <c r="AG7" s="207"/>
      <c r="AH7" s="207"/>
      <c r="AI7" s="207"/>
      <c r="AJ7" s="207"/>
      <c r="AK7" s="207"/>
      <c r="AL7" s="208"/>
      <c r="AM7" s="55"/>
      <c r="AN7" s="55"/>
    </row>
    <row r="8" spans="1:40" ht="12" customHeight="1">
      <c r="A8" s="206"/>
      <c r="B8" s="207"/>
      <c r="C8" s="207"/>
      <c r="D8" s="207"/>
      <c r="E8" s="207"/>
      <c r="F8" s="207"/>
      <c r="G8" s="207"/>
      <c r="H8" s="207"/>
      <c r="I8" s="207"/>
      <c r="J8" s="207"/>
      <c r="K8" s="207"/>
      <c r="L8" s="207"/>
      <c r="M8" s="206"/>
      <c r="N8" s="207"/>
      <c r="O8" s="207"/>
      <c r="P8" s="207"/>
      <c r="Q8" s="207"/>
      <c r="R8" s="207"/>
      <c r="S8" s="207"/>
      <c r="T8" s="207"/>
      <c r="U8" s="207"/>
      <c r="V8" s="207"/>
      <c r="W8" s="207"/>
      <c r="X8" s="207"/>
      <c r="Y8" s="207"/>
      <c r="Z8" s="208"/>
      <c r="AA8" s="207"/>
      <c r="AB8" s="207"/>
      <c r="AC8" s="207"/>
      <c r="AD8" s="207"/>
      <c r="AE8" s="207"/>
      <c r="AF8" s="207"/>
      <c r="AG8" s="207"/>
      <c r="AH8" s="207"/>
      <c r="AI8" s="207"/>
      <c r="AJ8" s="207"/>
      <c r="AK8" s="207"/>
      <c r="AL8" s="208"/>
      <c r="AM8" s="55"/>
      <c r="AN8" s="55"/>
    </row>
    <row r="9" spans="1:40" ht="12" customHeight="1">
      <c r="A9" s="376"/>
      <c r="B9" s="377"/>
      <c r="C9" s="377"/>
      <c r="D9" s="377"/>
      <c r="E9" s="377"/>
      <c r="F9" s="377"/>
      <c r="G9" s="377"/>
      <c r="H9" s="377"/>
      <c r="I9" s="377"/>
      <c r="J9" s="377"/>
      <c r="K9" s="377"/>
      <c r="L9" s="377"/>
      <c r="M9" s="376"/>
      <c r="N9" s="377"/>
      <c r="O9" s="377"/>
      <c r="P9" s="377"/>
      <c r="Q9" s="377"/>
      <c r="R9" s="377"/>
      <c r="S9" s="377"/>
      <c r="T9" s="377"/>
      <c r="U9" s="377"/>
      <c r="V9" s="377"/>
      <c r="W9" s="377"/>
      <c r="X9" s="377"/>
      <c r="Y9" s="377"/>
      <c r="Z9" s="378"/>
      <c r="AA9" s="377"/>
      <c r="AB9" s="377"/>
      <c r="AC9" s="377"/>
      <c r="AD9" s="377"/>
      <c r="AE9" s="377"/>
      <c r="AF9" s="377"/>
      <c r="AG9" s="377"/>
      <c r="AH9" s="377"/>
      <c r="AI9" s="377"/>
      <c r="AJ9" s="377"/>
      <c r="AK9" s="377"/>
      <c r="AL9" s="378"/>
      <c r="AM9" s="55"/>
      <c r="AN9" s="55"/>
    </row>
    <row r="10" spans="10:35" ht="6" customHeight="1">
      <c r="J10" s="6"/>
      <c r="K10" s="6"/>
      <c r="L10" s="6"/>
      <c r="M10" s="6"/>
      <c r="T10" s="6"/>
      <c r="U10" s="6"/>
      <c r="V10" s="6"/>
      <c r="W10" s="6"/>
      <c r="X10" s="6"/>
      <c r="Y10" s="6"/>
      <c r="AH10" s="6"/>
      <c r="AI10" s="6"/>
    </row>
    <row r="11" spans="1:40" ht="12" customHeight="1" thickBot="1">
      <c r="A11" s="699" t="s">
        <v>990</v>
      </c>
      <c r="B11" s="699"/>
      <c r="C11" s="699"/>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56"/>
      <c r="AN11" s="56"/>
    </row>
    <row r="12" spans="1:47" ht="12" customHeight="1">
      <c r="A12" s="636" t="s">
        <v>982</v>
      </c>
      <c r="B12" s="637"/>
      <c r="C12" s="637"/>
      <c r="D12" s="637"/>
      <c r="E12" s="637"/>
      <c r="F12" s="637"/>
      <c r="G12" s="638"/>
      <c r="H12" s="633" t="s">
        <v>735</v>
      </c>
      <c r="I12" s="635"/>
      <c r="J12" s="633" t="s">
        <v>736</v>
      </c>
      <c r="K12" s="634"/>
      <c r="L12" s="635"/>
      <c r="M12" s="633" t="s">
        <v>631</v>
      </c>
      <c r="N12" s="649"/>
      <c r="O12" s="636" t="s">
        <v>982</v>
      </c>
      <c r="P12" s="637"/>
      <c r="Q12" s="637"/>
      <c r="R12" s="637"/>
      <c r="S12" s="637"/>
      <c r="T12" s="637"/>
      <c r="U12" s="638"/>
      <c r="V12" s="633" t="s">
        <v>735</v>
      </c>
      <c r="W12" s="635"/>
      <c r="X12" s="640" t="s">
        <v>736</v>
      </c>
      <c r="Y12" s="641"/>
      <c r="Z12" s="642"/>
      <c r="AA12" s="633" t="s">
        <v>631</v>
      </c>
      <c r="AB12" s="643"/>
      <c r="AC12" s="625" t="s">
        <v>965</v>
      </c>
      <c r="AD12" s="626"/>
      <c r="AE12" s="626"/>
      <c r="AF12" s="626"/>
      <c r="AG12" s="626"/>
      <c r="AH12" s="626"/>
      <c r="AI12" s="626"/>
      <c r="AJ12" s="627"/>
      <c r="AK12" s="633" t="s">
        <v>631</v>
      </c>
      <c r="AL12" s="649"/>
      <c r="AM12" s="23"/>
      <c r="AN12" s="23"/>
      <c r="AP12" s="690" t="s">
        <v>994</v>
      </c>
      <c r="AQ12" s="691"/>
      <c r="AR12" s="691"/>
      <c r="AS12" s="691"/>
      <c r="AT12" s="691"/>
      <c r="AU12" s="692"/>
    </row>
    <row r="13" spans="1:47" ht="12" customHeight="1">
      <c r="A13" s="559" t="s">
        <v>992</v>
      </c>
      <c r="B13" s="560"/>
      <c r="C13" s="560"/>
      <c r="D13" s="560"/>
      <c r="E13" s="560"/>
      <c r="F13" s="560"/>
      <c r="G13" s="561"/>
      <c r="H13" s="321"/>
      <c r="I13" s="322"/>
      <c r="J13" s="619"/>
      <c r="K13" s="620"/>
      <c r="L13" s="621"/>
      <c r="M13" s="622">
        <f>H13*1</f>
        <v>0</v>
      </c>
      <c r="N13" s="639"/>
      <c r="O13" s="559" t="s">
        <v>747</v>
      </c>
      <c r="P13" s="560"/>
      <c r="Q13" s="560"/>
      <c r="R13" s="560"/>
      <c r="S13" s="560"/>
      <c r="T13" s="560"/>
      <c r="U13" s="561"/>
      <c r="V13" s="321"/>
      <c r="W13" s="322"/>
      <c r="X13" s="619"/>
      <c r="Y13" s="620"/>
      <c r="Z13" s="621"/>
      <c r="AA13" s="622">
        <f>V13*2</f>
        <v>0</v>
      </c>
      <c r="AB13" s="639"/>
      <c r="AC13" s="672" t="s">
        <v>749</v>
      </c>
      <c r="AD13" s="673"/>
      <c r="AE13" s="673"/>
      <c r="AF13" s="673"/>
      <c r="AG13" s="673"/>
      <c r="AH13" s="673"/>
      <c r="AI13" s="673"/>
      <c r="AJ13" s="674"/>
      <c r="AK13" s="650">
        <f>'Character Sheet p1'!V20</f>
        <v>0</v>
      </c>
      <c r="AL13" s="651"/>
      <c r="AM13" s="18"/>
      <c r="AN13" s="18"/>
      <c r="AP13" s="693"/>
      <c r="AQ13" s="694"/>
      <c r="AR13" s="694"/>
      <c r="AS13" s="694"/>
      <c r="AT13" s="694"/>
      <c r="AU13" s="695"/>
    </row>
    <row r="14" spans="1:47" ht="12" customHeight="1">
      <c r="A14" s="587"/>
      <c r="B14" s="588"/>
      <c r="C14" s="588"/>
      <c r="D14" s="588"/>
      <c r="E14" s="588"/>
      <c r="F14" s="588"/>
      <c r="G14" s="589"/>
      <c r="H14" s="557"/>
      <c r="I14" s="558"/>
      <c r="J14" s="557"/>
      <c r="K14" s="598"/>
      <c r="L14" s="558"/>
      <c r="M14" s="557"/>
      <c r="N14" s="624"/>
      <c r="O14" s="587" t="s">
        <v>996</v>
      </c>
      <c r="P14" s="588"/>
      <c r="Q14" s="588"/>
      <c r="R14" s="588"/>
      <c r="S14" s="588"/>
      <c r="T14" s="588"/>
      <c r="U14" s="589"/>
      <c r="V14" s="557"/>
      <c r="W14" s="558"/>
      <c r="X14" s="675"/>
      <c r="Y14" s="676"/>
      <c r="Z14" s="677"/>
      <c r="AA14" s="557">
        <f>V14*1</f>
        <v>0</v>
      </c>
      <c r="AB14" s="632"/>
      <c r="AC14" s="654" t="s">
        <v>750</v>
      </c>
      <c r="AD14" s="647"/>
      <c r="AE14" s="647"/>
      <c r="AF14" s="647"/>
      <c r="AG14" s="647"/>
      <c r="AH14" s="647"/>
      <c r="AI14" s="647"/>
      <c r="AJ14" s="648"/>
      <c r="AK14" s="644">
        <f>SUM('Character Sheet p1'!Y31:Z36)</f>
        <v>0</v>
      </c>
      <c r="AL14" s="645"/>
      <c r="AM14" s="18"/>
      <c r="AN14" s="18"/>
      <c r="AP14" s="693"/>
      <c r="AQ14" s="694"/>
      <c r="AR14" s="694"/>
      <c r="AS14" s="694"/>
      <c r="AT14" s="694"/>
      <c r="AU14" s="695"/>
    </row>
    <row r="15" spans="1:47" ht="12" customHeight="1">
      <c r="A15" s="587"/>
      <c r="B15" s="588"/>
      <c r="C15" s="588"/>
      <c r="D15" s="588"/>
      <c r="E15" s="588"/>
      <c r="F15" s="588"/>
      <c r="G15" s="589"/>
      <c r="H15" s="557"/>
      <c r="I15" s="558"/>
      <c r="J15" s="557"/>
      <c r="K15" s="598"/>
      <c r="L15" s="558"/>
      <c r="M15" s="557"/>
      <c r="N15" s="624"/>
      <c r="O15" s="587"/>
      <c r="P15" s="588"/>
      <c r="Q15" s="588"/>
      <c r="R15" s="588"/>
      <c r="S15" s="588"/>
      <c r="T15" s="588"/>
      <c r="U15" s="589"/>
      <c r="V15" s="557"/>
      <c r="W15" s="558"/>
      <c r="X15" s="675"/>
      <c r="Y15" s="676"/>
      <c r="Z15" s="677"/>
      <c r="AA15" s="557"/>
      <c r="AB15" s="632"/>
      <c r="AC15" s="654" t="str">
        <f>O13</f>
        <v>Backpack</v>
      </c>
      <c r="AD15" s="647"/>
      <c r="AE15" s="647"/>
      <c r="AF15" s="647"/>
      <c r="AG15" s="647"/>
      <c r="AH15" s="647"/>
      <c r="AI15" s="647"/>
      <c r="AJ15" s="648"/>
      <c r="AK15" s="652">
        <f>SUM(AA13:AB21)</f>
        <v>0</v>
      </c>
      <c r="AL15" s="653"/>
      <c r="AM15" s="18"/>
      <c r="AN15" s="18"/>
      <c r="AP15" s="693"/>
      <c r="AQ15" s="694"/>
      <c r="AR15" s="694"/>
      <c r="AS15" s="694"/>
      <c r="AT15" s="694"/>
      <c r="AU15" s="695"/>
    </row>
    <row r="16" spans="1:47" ht="12" customHeight="1">
      <c r="A16" s="587"/>
      <c r="B16" s="588"/>
      <c r="C16" s="588"/>
      <c r="D16" s="588"/>
      <c r="E16" s="588"/>
      <c r="F16" s="588"/>
      <c r="G16" s="589"/>
      <c r="H16" s="557"/>
      <c r="I16" s="558"/>
      <c r="J16" s="557"/>
      <c r="K16" s="598"/>
      <c r="L16" s="558"/>
      <c r="M16" s="557"/>
      <c r="N16" s="624"/>
      <c r="O16" s="587"/>
      <c r="P16" s="588"/>
      <c r="Q16" s="588"/>
      <c r="R16" s="588"/>
      <c r="S16" s="588"/>
      <c r="T16" s="588"/>
      <c r="U16" s="589"/>
      <c r="V16" s="557"/>
      <c r="W16" s="558"/>
      <c r="X16" s="675"/>
      <c r="Y16" s="676"/>
      <c r="Z16" s="677"/>
      <c r="AA16" s="557"/>
      <c r="AB16" s="632"/>
      <c r="AC16" s="654" t="str">
        <f>A13</f>
        <v>Potion Belt</v>
      </c>
      <c r="AD16" s="647"/>
      <c r="AE16" s="647"/>
      <c r="AF16" s="647"/>
      <c r="AG16" s="647"/>
      <c r="AH16" s="647"/>
      <c r="AI16" s="647"/>
      <c r="AJ16" s="648"/>
      <c r="AK16" s="644">
        <f>SUM(M13:N16)</f>
        <v>0</v>
      </c>
      <c r="AL16" s="645"/>
      <c r="AM16" s="18"/>
      <c r="AN16" s="18"/>
      <c r="AP16" s="693"/>
      <c r="AQ16" s="694"/>
      <c r="AR16" s="694"/>
      <c r="AS16" s="694"/>
      <c r="AT16" s="694"/>
      <c r="AU16" s="695"/>
    </row>
    <row r="17" spans="1:47" ht="12" customHeight="1" thickBot="1">
      <c r="A17" s="559" t="s">
        <v>993</v>
      </c>
      <c r="B17" s="560"/>
      <c r="C17" s="560"/>
      <c r="D17" s="560"/>
      <c r="E17" s="560"/>
      <c r="F17" s="560"/>
      <c r="G17" s="561"/>
      <c r="H17" s="321"/>
      <c r="I17" s="322"/>
      <c r="J17" s="619"/>
      <c r="K17" s="620"/>
      <c r="L17" s="621"/>
      <c r="M17" s="622">
        <f>H17*0.5</f>
        <v>0</v>
      </c>
      <c r="N17" s="639"/>
      <c r="O17" s="587"/>
      <c r="P17" s="588"/>
      <c r="Q17" s="588"/>
      <c r="R17" s="588"/>
      <c r="S17" s="588"/>
      <c r="T17" s="588"/>
      <c r="U17" s="589"/>
      <c r="V17" s="557"/>
      <c r="W17" s="558"/>
      <c r="X17" s="675"/>
      <c r="Y17" s="676"/>
      <c r="Z17" s="677"/>
      <c r="AA17" s="557"/>
      <c r="AB17" s="632"/>
      <c r="AC17" s="646" t="str">
        <f>A17</f>
        <v>Bandoleer</v>
      </c>
      <c r="AD17" s="647"/>
      <c r="AE17" s="647"/>
      <c r="AF17" s="647"/>
      <c r="AG17" s="647"/>
      <c r="AH17" s="647"/>
      <c r="AI17" s="647"/>
      <c r="AJ17" s="648"/>
      <c r="AK17" s="644">
        <f>SUM(M17:N21)</f>
        <v>0</v>
      </c>
      <c r="AL17" s="645"/>
      <c r="AM17" s="18"/>
      <c r="AN17" s="18"/>
      <c r="AP17" s="696"/>
      <c r="AQ17" s="697"/>
      <c r="AR17" s="697"/>
      <c r="AS17" s="697"/>
      <c r="AT17" s="697"/>
      <c r="AU17" s="698"/>
    </row>
    <row r="18" spans="1:40" ht="12" customHeight="1">
      <c r="A18" s="587"/>
      <c r="B18" s="588"/>
      <c r="C18" s="588"/>
      <c r="D18" s="588"/>
      <c r="E18" s="588"/>
      <c r="F18" s="588"/>
      <c r="G18" s="589"/>
      <c r="H18" s="557"/>
      <c r="I18" s="558"/>
      <c r="J18" s="557"/>
      <c r="K18" s="598"/>
      <c r="L18" s="558"/>
      <c r="M18" s="557"/>
      <c r="N18" s="624"/>
      <c r="O18" s="587"/>
      <c r="P18" s="588"/>
      <c r="Q18" s="588"/>
      <c r="R18" s="588"/>
      <c r="S18" s="588"/>
      <c r="T18" s="588"/>
      <c r="U18" s="589"/>
      <c r="V18" s="557"/>
      <c r="W18" s="558"/>
      <c r="X18" s="675"/>
      <c r="Y18" s="676"/>
      <c r="Z18" s="677"/>
      <c r="AA18" s="557"/>
      <c r="AB18" s="632"/>
      <c r="AC18" s="646" t="str">
        <f>A22</f>
        <v>Quiver</v>
      </c>
      <c r="AD18" s="647"/>
      <c r="AE18" s="647"/>
      <c r="AF18" s="647"/>
      <c r="AG18" s="647"/>
      <c r="AH18" s="647"/>
      <c r="AI18" s="647"/>
      <c r="AJ18" s="648"/>
      <c r="AK18" s="644">
        <f>SUM(M22:N26)</f>
        <v>0</v>
      </c>
      <c r="AL18" s="645"/>
      <c r="AM18" s="18"/>
      <c r="AN18" s="18"/>
    </row>
    <row r="19" spans="1:40" ht="12" customHeight="1">
      <c r="A19" s="587"/>
      <c r="B19" s="588"/>
      <c r="C19" s="588"/>
      <c r="D19" s="588"/>
      <c r="E19" s="588"/>
      <c r="F19" s="588"/>
      <c r="G19" s="589"/>
      <c r="H19" s="557"/>
      <c r="I19" s="558"/>
      <c r="J19" s="557"/>
      <c r="K19" s="598"/>
      <c r="L19" s="558"/>
      <c r="M19" s="557"/>
      <c r="N19" s="624"/>
      <c r="O19" s="587"/>
      <c r="P19" s="588"/>
      <c r="Q19" s="588"/>
      <c r="R19" s="588"/>
      <c r="S19" s="588"/>
      <c r="T19" s="588"/>
      <c r="U19" s="589"/>
      <c r="V19" s="557"/>
      <c r="W19" s="558"/>
      <c r="X19" s="675"/>
      <c r="Y19" s="676"/>
      <c r="Z19" s="677"/>
      <c r="AA19" s="557"/>
      <c r="AB19" s="632"/>
      <c r="AC19" s="609"/>
      <c r="AD19" s="610"/>
      <c r="AE19" s="610"/>
      <c r="AF19" s="610"/>
      <c r="AG19" s="610"/>
      <c r="AH19" s="610"/>
      <c r="AI19" s="610"/>
      <c r="AJ19" s="611"/>
      <c r="AK19" s="557"/>
      <c r="AL19" s="624"/>
      <c r="AM19" s="18"/>
      <c r="AN19" s="18"/>
    </row>
    <row r="20" spans="1:40" ht="12" customHeight="1">
      <c r="A20" s="587"/>
      <c r="B20" s="588"/>
      <c r="C20" s="588"/>
      <c r="D20" s="588"/>
      <c r="E20" s="588"/>
      <c r="F20" s="588"/>
      <c r="G20" s="589"/>
      <c r="H20" s="557"/>
      <c r="I20" s="558"/>
      <c r="J20" s="557"/>
      <c r="K20" s="598"/>
      <c r="L20" s="558"/>
      <c r="M20" s="557"/>
      <c r="N20" s="624"/>
      <c r="O20" s="587"/>
      <c r="P20" s="588"/>
      <c r="Q20" s="588"/>
      <c r="R20" s="588"/>
      <c r="S20" s="588"/>
      <c r="T20" s="588"/>
      <c r="U20" s="589"/>
      <c r="V20" s="557"/>
      <c r="W20" s="558"/>
      <c r="X20" s="675"/>
      <c r="Y20" s="676"/>
      <c r="Z20" s="677"/>
      <c r="AA20" s="557"/>
      <c r="AB20" s="632"/>
      <c r="AC20" s="609" t="s">
        <v>966</v>
      </c>
      <c r="AD20" s="610"/>
      <c r="AE20" s="610"/>
      <c r="AF20" s="610"/>
      <c r="AG20" s="610"/>
      <c r="AH20" s="610"/>
      <c r="AI20" s="610"/>
      <c r="AJ20" s="611"/>
      <c r="AK20" s="557">
        <v>5</v>
      </c>
      <c r="AL20" s="624"/>
      <c r="AM20" s="18"/>
      <c r="AN20" s="18"/>
    </row>
    <row r="21" spans="1:40" ht="12" customHeight="1">
      <c r="A21" s="587"/>
      <c r="B21" s="588"/>
      <c r="C21" s="588"/>
      <c r="D21" s="588"/>
      <c r="E21" s="588"/>
      <c r="F21" s="588"/>
      <c r="G21" s="589"/>
      <c r="H21" s="557"/>
      <c r="I21" s="558"/>
      <c r="J21" s="557"/>
      <c r="K21" s="598"/>
      <c r="L21" s="558"/>
      <c r="M21" s="557"/>
      <c r="N21" s="624"/>
      <c r="O21" s="587"/>
      <c r="P21" s="588"/>
      <c r="Q21" s="588"/>
      <c r="R21" s="588"/>
      <c r="S21" s="588"/>
      <c r="T21" s="588"/>
      <c r="U21" s="589"/>
      <c r="V21" s="557"/>
      <c r="W21" s="558"/>
      <c r="X21" s="675"/>
      <c r="Y21" s="676"/>
      <c r="Z21" s="677"/>
      <c r="AA21" s="557"/>
      <c r="AB21" s="632"/>
      <c r="AC21" s="609"/>
      <c r="AD21" s="610"/>
      <c r="AE21" s="610"/>
      <c r="AF21" s="610"/>
      <c r="AG21" s="610"/>
      <c r="AH21" s="610"/>
      <c r="AI21" s="610"/>
      <c r="AJ21" s="611"/>
      <c r="AK21" s="557"/>
      <c r="AL21" s="624"/>
      <c r="AM21" s="18"/>
      <c r="AN21" s="18"/>
    </row>
    <row r="22" spans="1:40" ht="12" customHeight="1">
      <c r="A22" s="559" t="s">
        <v>991</v>
      </c>
      <c r="B22" s="560"/>
      <c r="C22" s="560"/>
      <c r="D22" s="560"/>
      <c r="E22" s="560"/>
      <c r="F22" s="560"/>
      <c r="G22" s="561"/>
      <c r="H22" s="321"/>
      <c r="I22" s="322"/>
      <c r="J22" s="619"/>
      <c r="K22" s="620"/>
      <c r="L22" s="621"/>
      <c r="M22" s="622">
        <f>H22*1</f>
        <v>0</v>
      </c>
      <c r="N22" s="639"/>
      <c r="O22" s="559" t="s">
        <v>995</v>
      </c>
      <c r="P22" s="560"/>
      <c r="Q22" s="560"/>
      <c r="R22" s="560"/>
      <c r="S22" s="560"/>
      <c r="T22" s="560"/>
      <c r="U22" s="561"/>
      <c r="V22" s="321"/>
      <c r="W22" s="322"/>
      <c r="X22" s="96"/>
      <c r="Y22" s="97"/>
      <c r="Z22" s="98"/>
      <c r="AA22" s="622">
        <f>V22*5</f>
        <v>0</v>
      </c>
      <c r="AB22" s="623"/>
      <c r="AC22" s="609"/>
      <c r="AD22" s="610"/>
      <c r="AE22" s="610"/>
      <c r="AF22" s="610"/>
      <c r="AG22" s="610"/>
      <c r="AH22" s="610"/>
      <c r="AI22" s="610"/>
      <c r="AJ22" s="611"/>
      <c r="AK22" s="557"/>
      <c r="AL22" s="624"/>
      <c r="AM22" s="18"/>
      <c r="AN22" s="18"/>
    </row>
    <row r="23" spans="1:40" ht="12" customHeight="1">
      <c r="A23" s="587"/>
      <c r="B23" s="588"/>
      <c r="C23" s="588"/>
      <c r="D23" s="588"/>
      <c r="E23" s="588"/>
      <c r="F23" s="588"/>
      <c r="G23" s="589"/>
      <c r="H23" s="557"/>
      <c r="I23" s="558"/>
      <c r="J23" s="557"/>
      <c r="K23" s="598"/>
      <c r="L23" s="558"/>
      <c r="M23" s="557"/>
      <c r="N23" s="624"/>
      <c r="O23" s="99"/>
      <c r="P23" s="100"/>
      <c r="Q23" s="100"/>
      <c r="R23" s="100"/>
      <c r="S23" s="100"/>
      <c r="T23" s="100"/>
      <c r="U23" s="101"/>
      <c r="V23" s="102"/>
      <c r="W23" s="103"/>
      <c r="X23" s="104"/>
      <c r="Y23" s="105"/>
      <c r="Z23" s="106"/>
      <c r="AA23" s="102"/>
      <c r="AB23" s="107"/>
      <c r="AC23" s="609"/>
      <c r="AD23" s="610"/>
      <c r="AE23" s="610"/>
      <c r="AF23" s="610"/>
      <c r="AG23" s="610"/>
      <c r="AH23" s="610"/>
      <c r="AI23" s="610"/>
      <c r="AJ23" s="611"/>
      <c r="AK23" s="557"/>
      <c r="AL23" s="624"/>
      <c r="AM23" s="18"/>
      <c r="AN23" s="18"/>
    </row>
    <row r="24" spans="1:40" ht="12" customHeight="1">
      <c r="A24" s="587"/>
      <c r="B24" s="588"/>
      <c r="C24" s="588"/>
      <c r="D24" s="588"/>
      <c r="E24" s="588"/>
      <c r="F24" s="588"/>
      <c r="G24" s="589"/>
      <c r="H24" s="557"/>
      <c r="I24" s="558"/>
      <c r="J24" s="557"/>
      <c r="K24" s="598"/>
      <c r="L24" s="558"/>
      <c r="M24" s="557"/>
      <c r="N24" s="624"/>
      <c r="O24" s="587"/>
      <c r="P24" s="588"/>
      <c r="Q24" s="588"/>
      <c r="R24" s="588"/>
      <c r="S24" s="588"/>
      <c r="T24" s="588"/>
      <c r="U24" s="589"/>
      <c r="V24" s="557"/>
      <c r="W24" s="558"/>
      <c r="X24" s="675"/>
      <c r="Y24" s="676"/>
      <c r="Z24" s="677"/>
      <c r="AA24" s="557"/>
      <c r="AB24" s="632"/>
      <c r="AC24" s="609"/>
      <c r="AD24" s="610"/>
      <c r="AE24" s="610"/>
      <c r="AF24" s="610"/>
      <c r="AG24" s="610"/>
      <c r="AH24" s="610"/>
      <c r="AI24" s="610"/>
      <c r="AJ24" s="611"/>
      <c r="AK24" s="557"/>
      <c r="AL24" s="624"/>
      <c r="AM24" s="18"/>
      <c r="AN24" s="18"/>
    </row>
    <row r="25" spans="1:40" ht="12" customHeight="1">
      <c r="A25" s="587"/>
      <c r="B25" s="588"/>
      <c r="C25" s="588"/>
      <c r="D25" s="588"/>
      <c r="E25" s="588"/>
      <c r="F25" s="588"/>
      <c r="G25" s="589"/>
      <c r="H25" s="557"/>
      <c r="I25" s="558"/>
      <c r="J25" s="557"/>
      <c r="K25" s="598"/>
      <c r="L25" s="558"/>
      <c r="M25" s="557"/>
      <c r="N25" s="624"/>
      <c r="O25" s="587"/>
      <c r="P25" s="588"/>
      <c r="Q25" s="588"/>
      <c r="R25" s="588"/>
      <c r="S25" s="588"/>
      <c r="T25" s="588"/>
      <c r="U25" s="589"/>
      <c r="V25" s="557"/>
      <c r="W25" s="558"/>
      <c r="X25" s="655"/>
      <c r="Y25" s="656"/>
      <c r="Z25" s="657"/>
      <c r="AA25" s="557"/>
      <c r="AB25" s="632"/>
      <c r="AC25" s="678"/>
      <c r="AD25" s="679"/>
      <c r="AE25" s="679"/>
      <c r="AF25" s="679"/>
      <c r="AG25" s="679"/>
      <c r="AH25" s="679"/>
      <c r="AI25" s="679"/>
      <c r="AJ25" s="680"/>
      <c r="AK25" s="599"/>
      <c r="AL25" s="600"/>
      <c r="AM25" s="18"/>
      <c r="AN25" s="18"/>
    </row>
    <row r="26" spans="1:40" ht="12" customHeight="1" thickBot="1">
      <c r="A26" s="575"/>
      <c r="B26" s="576"/>
      <c r="C26" s="576"/>
      <c r="D26" s="576"/>
      <c r="E26" s="576"/>
      <c r="F26" s="576"/>
      <c r="G26" s="577"/>
      <c r="H26" s="617"/>
      <c r="I26" s="684"/>
      <c r="J26" s="617"/>
      <c r="K26" s="685"/>
      <c r="L26" s="684"/>
      <c r="M26" s="617"/>
      <c r="N26" s="618"/>
      <c r="O26" s="575"/>
      <c r="P26" s="576"/>
      <c r="Q26" s="576"/>
      <c r="R26" s="576"/>
      <c r="S26" s="576"/>
      <c r="T26" s="576"/>
      <c r="U26" s="577"/>
      <c r="V26" s="617"/>
      <c r="W26" s="684"/>
      <c r="X26" s="686"/>
      <c r="Y26" s="687"/>
      <c r="Z26" s="688"/>
      <c r="AA26" s="617"/>
      <c r="AB26" s="689"/>
      <c r="AC26" s="681" t="s">
        <v>967</v>
      </c>
      <c r="AD26" s="682"/>
      <c r="AE26" s="682"/>
      <c r="AF26" s="682"/>
      <c r="AG26" s="682"/>
      <c r="AH26" s="682"/>
      <c r="AI26" s="682"/>
      <c r="AJ26" s="683"/>
      <c r="AK26" s="599">
        <v>1</v>
      </c>
      <c r="AL26" s="600"/>
      <c r="AM26" s="21"/>
      <c r="AN26" s="21"/>
    </row>
    <row r="27" spans="29:40" ht="12" customHeight="1" thickBot="1">
      <c r="AC27" s="615" t="s">
        <v>737</v>
      </c>
      <c r="AD27" s="615"/>
      <c r="AE27" s="615"/>
      <c r="AF27" s="615"/>
      <c r="AG27" s="615"/>
      <c r="AH27" s="615"/>
      <c r="AI27" s="615"/>
      <c r="AJ27" s="616"/>
      <c r="AK27" s="658">
        <f>SUM(AK13:AL26)</f>
        <v>6</v>
      </c>
      <c r="AL27" s="659"/>
      <c r="AM27" s="21"/>
      <c r="AN27" s="21"/>
    </row>
    <row r="28" ht="6" customHeight="1"/>
    <row r="29" spans="1:38" ht="14.25" thickBot="1">
      <c r="A29" s="264" t="s">
        <v>962</v>
      </c>
      <c r="B29" s="264"/>
      <c r="C29" s="264"/>
      <c r="D29" s="264"/>
      <c r="E29" s="264"/>
      <c r="F29" s="264"/>
      <c r="G29" s="264"/>
      <c r="H29" s="264"/>
      <c r="I29" s="264"/>
      <c r="J29" s="264"/>
      <c r="K29" s="264"/>
      <c r="L29" s="264"/>
      <c r="M29" s="264"/>
      <c r="N29" s="108"/>
      <c r="O29" s="264" t="str">
        <f>UPPER(A13)</f>
        <v>POTION BELT</v>
      </c>
      <c r="P29" s="264"/>
      <c r="Q29" s="264"/>
      <c r="R29" s="264"/>
      <c r="S29" s="264"/>
      <c r="T29" s="264"/>
      <c r="U29" s="264"/>
      <c r="V29" s="264"/>
      <c r="W29" s="264" t="s">
        <v>1036</v>
      </c>
      <c r="X29" s="264"/>
      <c r="Y29" s="264"/>
      <c r="Z29" s="264"/>
      <c r="AA29" s="264"/>
      <c r="AB29" s="264"/>
      <c r="AC29" s="264"/>
      <c r="AD29" s="264"/>
      <c r="AE29" s="264"/>
      <c r="AF29" s="264"/>
      <c r="AG29" s="264"/>
      <c r="AH29" s="264"/>
      <c r="AI29" s="264"/>
      <c r="AJ29" s="264"/>
      <c r="AK29" s="264"/>
      <c r="AL29" s="264"/>
    </row>
    <row r="30" spans="1:40" ht="12" customHeight="1">
      <c r="A30" s="594" t="s">
        <v>976</v>
      </c>
      <c r="B30" s="595"/>
      <c r="C30" s="595"/>
      <c r="D30" s="595"/>
      <c r="E30" s="596"/>
      <c r="F30" s="612" t="s">
        <v>970</v>
      </c>
      <c r="G30" s="613"/>
      <c r="H30" s="613"/>
      <c r="I30" s="613"/>
      <c r="J30" s="613"/>
      <c r="K30" s="613"/>
      <c r="L30" s="613"/>
      <c r="M30" s="614"/>
      <c r="N30" s="57"/>
      <c r="O30" s="544" t="s">
        <v>1033</v>
      </c>
      <c r="P30" s="545"/>
      <c r="Q30" s="545"/>
      <c r="R30" s="545"/>
      <c r="S30" s="545"/>
      <c r="T30" s="545"/>
      <c r="U30" s="542">
        <v>6</v>
      </c>
      <c r="V30" s="546"/>
      <c r="W30" s="540" t="s">
        <v>1034</v>
      </c>
      <c r="X30" s="541"/>
      <c r="Y30" s="541"/>
      <c r="Z30" s="541"/>
      <c r="AA30" s="541"/>
      <c r="AB30" s="541"/>
      <c r="AC30" s="542">
        <v>5</v>
      </c>
      <c r="AD30" s="543"/>
      <c r="AE30" s="547" t="s">
        <v>1034</v>
      </c>
      <c r="AF30" s="541"/>
      <c r="AG30" s="541"/>
      <c r="AH30" s="541"/>
      <c r="AI30" s="541"/>
      <c r="AJ30" s="541"/>
      <c r="AK30" s="542">
        <v>7</v>
      </c>
      <c r="AL30" s="546"/>
      <c r="AM30" s="55"/>
      <c r="AN30" s="55"/>
    </row>
    <row r="31" spans="1:40" ht="12" customHeight="1">
      <c r="A31" s="590" t="s">
        <v>974</v>
      </c>
      <c r="B31" s="591"/>
      <c r="C31" s="566"/>
      <c r="D31" s="567"/>
      <c r="E31" s="568"/>
      <c r="F31" s="601"/>
      <c r="G31" s="602"/>
      <c r="H31" s="602"/>
      <c r="I31" s="602"/>
      <c r="J31" s="602"/>
      <c r="K31" s="602"/>
      <c r="L31" s="602"/>
      <c r="M31" s="603"/>
      <c r="N31" s="109"/>
      <c r="O31" s="532"/>
      <c r="P31" s="533"/>
      <c r="Q31" s="533"/>
      <c r="R31" s="533"/>
      <c r="S31" s="533"/>
      <c r="T31" s="533"/>
      <c r="U31" s="534"/>
      <c r="V31" s="535"/>
      <c r="W31" s="536"/>
      <c r="X31" s="537"/>
      <c r="Y31" s="537"/>
      <c r="Z31" s="537"/>
      <c r="AA31" s="537"/>
      <c r="AB31" s="537"/>
      <c r="AC31" s="534"/>
      <c r="AD31" s="538"/>
      <c r="AE31" s="539"/>
      <c r="AF31" s="537"/>
      <c r="AG31" s="537"/>
      <c r="AH31" s="537"/>
      <c r="AI31" s="537"/>
      <c r="AJ31" s="537"/>
      <c r="AK31" s="534"/>
      <c r="AL31" s="535"/>
      <c r="AM31" s="55"/>
      <c r="AN31" s="55"/>
    </row>
    <row r="32" spans="1:40" ht="12" customHeight="1">
      <c r="A32" s="592" t="s">
        <v>977</v>
      </c>
      <c r="B32" s="593"/>
      <c r="C32" s="569"/>
      <c r="D32" s="570"/>
      <c r="E32" s="571"/>
      <c r="F32" s="604"/>
      <c r="G32" s="605"/>
      <c r="H32" s="605"/>
      <c r="I32" s="605"/>
      <c r="J32" s="605"/>
      <c r="K32" s="605"/>
      <c r="L32" s="605"/>
      <c r="M32" s="606"/>
      <c r="N32" s="109"/>
      <c r="O32" s="532"/>
      <c r="P32" s="533"/>
      <c r="Q32" s="533"/>
      <c r="R32" s="533"/>
      <c r="S32" s="533"/>
      <c r="T32" s="533"/>
      <c r="U32" s="534"/>
      <c r="V32" s="535"/>
      <c r="W32" s="536"/>
      <c r="X32" s="537"/>
      <c r="Y32" s="537"/>
      <c r="Z32" s="537"/>
      <c r="AA32" s="537"/>
      <c r="AB32" s="537"/>
      <c r="AC32" s="534"/>
      <c r="AD32" s="538"/>
      <c r="AE32" s="539"/>
      <c r="AF32" s="537"/>
      <c r="AG32" s="537"/>
      <c r="AH32" s="537"/>
      <c r="AI32" s="537"/>
      <c r="AJ32" s="537"/>
      <c r="AK32" s="534"/>
      <c r="AL32" s="535"/>
      <c r="AM32" s="55"/>
      <c r="AN32" s="55"/>
    </row>
    <row r="33" spans="1:40" ht="12" customHeight="1">
      <c r="A33" s="562" t="s">
        <v>975</v>
      </c>
      <c r="B33" s="563"/>
      <c r="C33" s="569"/>
      <c r="D33" s="570"/>
      <c r="E33" s="571"/>
      <c r="F33" s="385"/>
      <c r="G33" s="607"/>
      <c r="H33" s="607"/>
      <c r="I33" s="607"/>
      <c r="J33" s="607"/>
      <c r="K33" s="607"/>
      <c r="L33" s="607"/>
      <c r="M33" s="608"/>
      <c r="N33" s="57"/>
      <c r="O33" s="532"/>
      <c r="P33" s="533"/>
      <c r="Q33" s="533"/>
      <c r="R33" s="533"/>
      <c r="S33" s="533"/>
      <c r="T33" s="533"/>
      <c r="U33" s="534"/>
      <c r="V33" s="535"/>
      <c r="W33" s="536"/>
      <c r="X33" s="537"/>
      <c r="Y33" s="537"/>
      <c r="Z33" s="537"/>
      <c r="AA33" s="537"/>
      <c r="AB33" s="537"/>
      <c r="AC33" s="534"/>
      <c r="AD33" s="538"/>
      <c r="AE33" s="539"/>
      <c r="AF33" s="537"/>
      <c r="AG33" s="537"/>
      <c r="AH33" s="537"/>
      <c r="AI33" s="537"/>
      <c r="AJ33" s="537"/>
      <c r="AK33" s="534"/>
      <c r="AL33" s="535"/>
      <c r="AM33" s="55"/>
      <c r="AN33" s="55"/>
    </row>
    <row r="34" spans="1:40" ht="12" customHeight="1">
      <c r="A34" s="564" t="s">
        <v>978</v>
      </c>
      <c r="B34" s="565"/>
      <c r="C34" s="572"/>
      <c r="D34" s="573"/>
      <c r="E34" s="574"/>
      <c r="F34" s="578"/>
      <c r="G34" s="579"/>
      <c r="H34" s="579"/>
      <c r="I34" s="579"/>
      <c r="J34" s="579"/>
      <c r="K34" s="579"/>
      <c r="L34" s="579"/>
      <c r="M34" s="580"/>
      <c r="N34" s="57"/>
      <c r="O34" s="532"/>
      <c r="P34" s="533"/>
      <c r="Q34" s="533"/>
      <c r="R34" s="533"/>
      <c r="S34" s="533"/>
      <c r="T34" s="533"/>
      <c r="U34" s="534"/>
      <c r="V34" s="535"/>
      <c r="W34" s="536"/>
      <c r="X34" s="537"/>
      <c r="Y34" s="537"/>
      <c r="Z34" s="537"/>
      <c r="AA34" s="537"/>
      <c r="AB34" s="537"/>
      <c r="AC34" s="534"/>
      <c r="AD34" s="538"/>
      <c r="AE34" s="539"/>
      <c r="AF34" s="537"/>
      <c r="AG34" s="537"/>
      <c r="AH34" s="537"/>
      <c r="AI34" s="537"/>
      <c r="AJ34" s="537"/>
      <c r="AK34" s="534"/>
      <c r="AL34" s="535"/>
      <c r="AM34" s="55"/>
      <c r="AN34" s="55"/>
    </row>
    <row r="35" spans="14:40" ht="12" customHeight="1">
      <c r="N35" s="57"/>
      <c r="O35" s="532"/>
      <c r="P35" s="533"/>
      <c r="Q35" s="533"/>
      <c r="R35" s="533"/>
      <c r="S35" s="533"/>
      <c r="T35" s="533"/>
      <c r="U35" s="534"/>
      <c r="V35" s="535"/>
      <c r="W35" s="536"/>
      <c r="X35" s="537"/>
      <c r="Y35" s="537"/>
      <c r="Z35" s="537"/>
      <c r="AA35" s="537"/>
      <c r="AB35" s="537"/>
      <c r="AC35" s="534"/>
      <c r="AD35" s="538"/>
      <c r="AE35" s="539"/>
      <c r="AF35" s="537"/>
      <c r="AG35" s="537"/>
      <c r="AH35" s="537"/>
      <c r="AI35" s="537"/>
      <c r="AJ35" s="537"/>
      <c r="AK35" s="534"/>
      <c r="AL35" s="535"/>
      <c r="AM35" s="55"/>
      <c r="AN35" s="55"/>
    </row>
    <row r="36" spans="1:40" ht="12" customHeight="1" thickBot="1">
      <c r="A36" s="597" t="s">
        <v>1020</v>
      </c>
      <c r="B36" s="597"/>
      <c r="C36" s="597"/>
      <c r="D36" s="597"/>
      <c r="E36" s="597"/>
      <c r="F36" s="597"/>
      <c r="G36" s="597"/>
      <c r="H36" s="597"/>
      <c r="I36" s="597"/>
      <c r="J36" s="597"/>
      <c r="K36" s="597"/>
      <c r="L36" s="597"/>
      <c r="M36" s="597"/>
      <c r="N36" s="109"/>
      <c r="O36" s="584"/>
      <c r="P36" s="585"/>
      <c r="Q36" s="585"/>
      <c r="R36" s="585"/>
      <c r="S36" s="585"/>
      <c r="T36" s="585"/>
      <c r="U36" s="529"/>
      <c r="V36" s="586"/>
      <c r="W36" s="527"/>
      <c r="X36" s="528"/>
      <c r="Y36" s="528"/>
      <c r="Z36" s="528"/>
      <c r="AA36" s="528"/>
      <c r="AB36" s="528"/>
      <c r="AC36" s="529"/>
      <c r="AD36" s="530"/>
      <c r="AE36" s="531"/>
      <c r="AF36" s="528"/>
      <c r="AG36" s="528"/>
      <c r="AH36" s="528"/>
      <c r="AI36" s="528"/>
      <c r="AJ36" s="528"/>
      <c r="AK36" s="529"/>
      <c r="AL36" s="586"/>
      <c r="AM36" s="55"/>
      <c r="AN36" s="55"/>
    </row>
    <row r="37" spans="1:40" ht="12" customHeight="1">
      <c r="A37" s="139"/>
      <c r="B37" s="140"/>
      <c r="C37" s="140"/>
      <c r="D37" s="140"/>
      <c r="E37" s="140"/>
      <c r="F37" s="140"/>
      <c r="G37" s="140"/>
      <c r="H37" s="140"/>
      <c r="I37" s="140"/>
      <c r="J37" s="140"/>
      <c r="K37" s="140"/>
      <c r="L37" s="140"/>
      <c r="M37" s="141"/>
      <c r="N37" s="109"/>
      <c r="O37" s="581" t="s">
        <v>1032</v>
      </c>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3"/>
      <c r="AM37" s="55"/>
      <c r="AN37" s="55"/>
    </row>
    <row r="38" spans="1:40" ht="12" customHeight="1">
      <c r="A38" s="142"/>
      <c r="B38" s="143"/>
      <c r="C38" s="143"/>
      <c r="D38" s="143"/>
      <c r="E38" s="143"/>
      <c r="F38" s="143"/>
      <c r="G38" s="143"/>
      <c r="H38" s="143"/>
      <c r="I38" s="143"/>
      <c r="J38" s="143"/>
      <c r="K38" s="143"/>
      <c r="L38" s="143"/>
      <c r="M38" s="144"/>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55"/>
      <c r="AN38" s="55"/>
    </row>
    <row r="39" spans="1:40" ht="12" customHeight="1">
      <c r="A39" s="142"/>
      <c r="B39" s="143"/>
      <c r="C39" s="143"/>
      <c r="D39" s="143"/>
      <c r="E39" s="143"/>
      <c r="F39" s="143"/>
      <c r="G39" s="143"/>
      <c r="H39" s="143"/>
      <c r="I39" s="143"/>
      <c r="J39" s="143"/>
      <c r="K39" s="143"/>
      <c r="L39" s="143"/>
      <c r="M39" s="144"/>
      <c r="N39" s="112"/>
      <c r="O39" s="264" t="s">
        <v>1021</v>
      </c>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0"/>
      <c r="AN39" s="20"/>
    </row>
    <row r="40" spans="1:40" ht="12" customHeight="1">
      <c r="A40" s="142"/>
      <c r="B40" s="143"/>
      <c r="C40" s="143"/>
      <c r="D40" s="143"/>
      <c r="E40" s="143"/>
      <c r="F40" s="143"/>
      <c r="G40" s="143"/>
      <c r="H40" s="143"/>
      <c r="I40" s="143"/>
      <c r="J40" s="143"/>
      <c r="K40" s="143"/>
      <c r="L40" s="143"/>
      <c r="M40" s="144"/>
      <c r="N40" s="15"/>
      <c r="O40" s="519" t="s">
        <v>1013</v>
      </c>
      <c r="P40" s="520"/>
      <c r="Q40" s="520"/>
      <c r="R40" s="666"/>
      <c r="S40" s="667"/>
      <c r="T40" s="667"/>
      <c r="U40" s="667"/>
      <c r="V40" s="667"/>
      <c r="W40" s="667"/>
      <c r="X40" s="667"/>
      <c r="Y40" s="667"/>
      <c r="Z40" s="668"/>
      <c r="AA40" s="519" t="s">
        <v>1022</v>
      </c>
      <c r="AB40" s="520"/>
      <c r="AC40" s="521"/>
      <c r="AD40" s="522"/>
      <c r="AE40" s="523"/>
      <c r="AF40" s="523"/>
      <c r="AG40" s="523"/>
      <c r="AH40" s="523"/>
      <c r="AI40" s="523"/>
      <c r="AJ40" s="523"/>
      <c r="AK40" s="523"/>
      <c r="AL40" s="524"/>
      <c r="AM40" s="24"/>
      <c r="AN40" s="24"/>
    </row>
    <row r="41" spans="1:40" ht="12" customHeight="1">
      <c r="A41" s="142"/>
      <c r="B41" s="143"/>
      <c r="C41" s="143"/>
      <c r="D41" s="143"/>
      <c r="E41" s="143"/>
      <c r="F41" s="143"/>
      <c r="G41" s="143"/>
      <c r="H41" s="143"/>
      <c r="I41" s="143"/>
      <c r="J41" s="143"/>
      <c r="K41" s="143"/>
      <c r="L41" s="143"/>
      <c r="M41" s="144"/>
      <c r="N41" s="15"/>
      <c r="O41" s="513" t="s">
        <v>1023</v>
      </c>
      <c r="P41" s="514"/>
      <c r="Q41" s="514"/>
      <c r="R41" s="515"/>
      <c r="S41" s="516"/>
      <c r="T41" s="516"/>
      <c r="U41" s="516"/>
      <c r="V41" s="516"/>
      <c r="W41" s="516"/>
      <c r="X41" s="516"/>
      <c r="Y41" s="516"/>
      <c r="Z41" s="517"/>
      <c r="AA41" s="513" t="s">
        <v>1024</v>
      </c>
      <c r="AB41" s="514"/>
      <c r="AC41" s="518"/>
      <c r="AD41" s="515"/>
      <c r="AE41" s="516"/>
      <c r="AF41" s="516"/>
      <c r="AG41" s="516"/>
      <c r="AH41" s="516"/>
      <c r="AI41" s="516"/>
      <c r="AJ41" s="516"/>
      <c r="AK41" s="516"/>
      <c r="AL41" s="517"/>
      <c r="AM41" s="58"/>
      <c r="AN41" s="58"/>
    </row>
    <row r="42" spans="1:40" ht="12" customHeight="1">
      <c r="A42" s="142"/>
      <c r="B42" s="143"/>
      <c r="C42" s="143"/>
      <c r="D42" s="143"/>
      <c r="E42" s="143"/>
      <c r="F42" s="143"/>
      <c r="G42" s="143"/>
      <c r="H42" s="143"/>
      <c r="I42" s="143"/>
      <c r="J42" s="143"/>
      <c r="K42" s="143"/>
      <c r="L42" s="143"/>
      <c r="M42" s="144"/>
      <c r="N42" s="15"/>
      <c r="O42" s="513" t="s">
        <v>1025</v>
      </c>
      <c r="P42" s="514"/>
      <c r="Q42" s="514"/>
      <c r="R42" s="515"/>
      <c r="S42" s="516"/>
      <c r="T42" s="516"/>
      <c r="U42" s="516"/>
      <c r="V42" s="516"/>
      <c r="W42" s="516"/>
      <c r="X42" s="516"/>
      <c r="Y42" s="516"/>
      <c r="Z42" s="517"/>
      <c r="AA42" s="513" t="s">
        <v>1026</v>
      </c>
      <c r="AB42" s="514"/>
      <c r="AC42" s="518"/>
      <c r="AD42" s="515"/>
      <c r="AE42" s="516"/>
      <c r="AF42" s="516"/>
      <c r="AG42" s="516"/>
      <c r="AH42" s="516"/>
      <c r="AI42" s="516"/>
      <c r="AJ42" s="516"/>
      <c r="AK42" s="516"/>
      <c r="AL42" s="517"/>
      <c r="AM42" s="59"/>
      <c r="AN42" s="59"/>
    </row>
    <row r="43" spans="1:40" ht="12" customHeight="1">
      <c r="A43" s="142"/>
      <c r="B43" s="143"/>
      <c r="C43" s="143"/>
      <c r="D43" s="143"/>
      <c r="E43" s="143"/>
      <c r="F43" s="143"/>
      <c r="G43" s="143"/>
      <c r="H43" s="143"/>
      <c r="I43" s="143"/>
      <c r="J43" s="143"/>
      <c r="K43" s="143"/>
      <c r="L43" s="143"/>
      <c r="M43" s="144"/>
      <c r="N43" s="15"/>
      <c r="O43" s="513" t="s">
        <v>1027</v>
      </c>
      <c r="P43" s="514"/>
      <c r="Q43" s="514"/>
      <c r="R43" s="515"/>
      <c r="S43" s="516"/>
      <c r="T43" s="516"/>
      <c r="U43" s="516"/>
      <c r="V43" s="516"/>
      <c r="W43" s="516"/>
      <c r="X43" s="516"/>
      <c r="Y43" s="516"/>
      <c r="Z43" s="517"/>
      <c r="AA43" s="513" t="s">
        <v>1028</v>
      </c>
      <c r="AB43" s="514"/>
      <c r="AC43" s="518"/>
      <c r="AD43" s="515"/>
      <c r="AE43" s="516"/>
      <c r="AF43" s="516"/>
      <c r="AG43" s="516"/>
      <c r="AH43" s="516"/>
      <c r="AI43" s="516"/>
      <c r="AJ43" s="516"/>
      <c r="AK43" s="516"/>
      <c r="AL43" s="517"/>
      <c r="AM43" s="59"/>
      <c r="AN43" s="59"/>
    </row>
    <row r="44" spans="1:40" ht="12" customHeight="1">
      <c r="A44" s="142"/>
      <c r="B44" s="143"/>
      <c r="C44" s="143"/>
      <c r="D44" s="143"/>
      <c r="E44" s="143"/>
      <c r="F44" s="143"/>
      <c r="G44" s="143"/>
      <c r="H44" s="143"/>
      <c r="I44" s="143"/>
      <c r="J44" s="143"/>
      <c r="K44" s="143"/>
      <c r="L44" s="143"/>
      <c r="M44" s="144"/>
      <c r="N44" s="15"/>
      <c r="O44" s="513" t="s">
        <v>1029</v>
      </c>
      <c r="P44" s="514"/>
      <c r="Q44" s="514"/>
      <c r="R44" s="515"/>
      <c r="S44" s="516"/>
      <c r="T44" s="516"/>
      <c r="U44" s="516"/>
      <c r="V44" s="516"/>
      <c r="W44" s="516"/>
      <c r="X44" s="516"/>
      <c r="Y44" s="516"/>
      <c r="Z44" s="517"/>
      <c r="AA44" s="513" t="s">
        <v>1030</v>
      </c>
      <c r="AB44" s="514"/>
      <c r="AC44" s="518"/>
      <c r="AD44" s="515"/>
      <c r="AE44" s="516"/>
      <c r="AF44" s="516"/>
      <c r="AG44" s="516"/>
      <c r="AH44" s="516"/>
      <c r="AI44" s="516"/>
      <c r="AJ44" s="516"/>
      <c r="AK44" s="516"/>
      <c r="AL44" s="517"/>
      <c r="AM44" s="25"/>
      <c r="AN44" s="25"/>
    </row>
    <row r="45" spans="1:40" ht="12" customHeight="1">
      <c r="A45" s="142"/>
      <c r="B45" s="143"/>
      <c r="C45" s="143"/>
      <c r="D45" s="143"/>
      <c r="E45" s="143"/>
      <c r="F45" s="143"/>
      <c r="G45" s="143"/>
      <c r="H45" s="143"/>
      <c r="I45" s="143"/>
      <c r="J45" s="143"/>
      <c r="K45" s="143"/>
      <c r="L45" s="143"/>
      <c r="M45" s="144"/>
      <c r="N45" s="15"/>
      <c r="O45" s="660" t="s">
        <v>1031</v>
      </c>
      <c r="P45" s="661"/>
      <c r="Q45" s="661"/>
      <c r="R45" s="662"/>
      <c r="S45" s="663"/>
      <c r="T45" s="663"/>
      <c r="U45" s="663"/>
      <c r="V45" s="663"/>
      <c r="W45" s="663"/>
      <c r="X45" s="663"/>
      <c r="Y45" s="663"/>
      <c r="Z45" s="664"/>
      <c r="AA45" s="660" t="s">
        <v>1030</v>
      </c>
      <c r="AB45" s="661"/>
      <c r="AC45" s="665"/>
      <c r="AD45" s="662"/>
      <c r="AE45" s="663"/>
      <c r="AF45" s="663"/>
      <c r="AG45" s="663"/>
      <c r="AH45" s="663"/>
      <c r="AI45" s="663"/>
      <c r="AJ45" s="663"/>
      <c r="AK45" s="663"/>
      <c r="AL45" s="664"/>
      <c r="AM45" s="15"/>
      <c r="AN45" s="15"/>
    </row>
    <row r="46" spans="1:40" ht="12" customHeight="1">
      <c r="A46" s="145"/>
      <c r="B46" s="146"/>
      <c r="C46" s="146"/>
      <c r="D46" s="146"/>
      <c r="E46" s="146"/>
      <c r="F46" s="146"/>
      <c r="G46" s="146"/>
      <c r="H46" s="146"/>
      <c r="I46" s="146"/>
      <c r="J46" s="146"/>
      <c r="K46" s="146"/>
      <c r="L46" s="146"/>
      <c r="M46" s="147"/>
      <c r="N46" s="15"/>
      <c r="O46" s="15"/>
      <c r="P46" s="20"/>
      <c r="Q46" s="20"/>
      <c r="R46" s="113"/>
      <c r="S46" s="113"/>
      <c r="T46" s="113"/>
      <c r="U46" s="113"/>
      <c r="V46" s="113"/>
      <c r="W46" s="113"/>
      <c r="X46" s="113"/>
      <c r="Y46" s="113"/>
      <c r="Z46" s="113"/>
      <c r="AA46" s="113"/>
      <c r="AB46" s="113"/>
      <c r="AC46" s="113"/>
      <c r="AD46" s="113"/>
      <c r="AE46" s="113"/>
      <c r="AF46" s="113"/>
      <c r="AG46" s="113"/>
      <c r="AH46" s="113"/>
      <c r="AI46" s="113"/>
      <c r="AJ46" s="113"/>
      <c r="AK46" s="15"/>
      <c r="AL46" s="15"/>
      <c r="AM46" s="15"/>
      <c r="AN46" s="15"/>
    </row>
    <row r="47" spans="1:40" ht="13.5">
      <c r="A47" s="109"/>
      <c r="B47" s="109"/>
      <c r="C47" s="109"/>
      <c r="D47" s="109"/>
      <c r="E47" s="109"/>
      <c r="F47" s="109"/>
      <c r="G47" s="109"/>
      <c r="H47" s="109"/>
      <c r="I47" s="109"/>
      <c r="J47" s="109"/>
      <c r="K47" s="109"/>
      <c r="L47" s="109"/>
      <c r="M47" s="109"/>
      <c r="N47" s="15"/>
      <c r="O47" s="415" t="s">
        <v>955</v>
      </c>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57"/>
      <c r="AN47" s="57"/>
    </row>
    <row r="48" spans="1:40" ht="12" customHeight="1">
      <c r="A48" s="415" t="s">
        <v>1035</v>
      </c>
      <c r="B48" s="415"/>
      <c r="C48" s="415"/>
      <c r="D48" s="415"/>
      <c r="E48" s="415"/>
      <c r="F48" s="415"/>
      <c r="G48" s="415"/>
      <c r="H48" s="415"/>
      <c r="I48" s="415"/>
      <c r="J48" s="415"/>
      <c r="K48" s="415"/>
      <c r="L48" s="415"/>
      <c r="M48" s="415"/>
      <c r="N48" s="15"/>
      <c r="O48" s="669" t="s">
        <v>738</v>
      </c>
      <c r="P48" s="670"/>
      <c r="Q48" s="670"/>
      <c r="R48" s="671"/>
      <c r="S48" s="511">
        <v>0</v>
      </c>
      <c r="T48" s="512"/>
      <c r="U48" s="511">
        <v>1</v>
      </c>
      <c r="V48" s="512"/>
      <c r="W48" s="511">
        <v>2</v>
      </c>
      <c r="X48" s="512"/>
      <c r="Y48" s="511">
        <v>3</v>
      </c>
      <c r="Z48" s="512"/>
      <c r="AA48" s="511">
        <v>4</v>
      </c>
      <c r="AB48" s="512"/>
      <c r="AC48" s="511">
        <v>5</v>
      </c>
      <c r="AD48" s="512"/>
      <c r="AE48" s="511">
        <v>6</v>
      </c>
      <c r="AF48" s="512"/>
      <c r="AG48" s="511">
        <v>7</v>
      </c>
      <c r="AH48" s="512"/>
      <c r="AI48" s="511">
        <v>8</v>
      </c>
      <c r="AJ48" s="512"/>
      <c r="AK48" s="511" t="s">
        <v>739</v>
      </c>
      <c r="AL48" s="512"/>
      <c r="AM48" s="57"/>
      <c r="AN48" s="57"/>
    </row>
    <row r="49" spans="1:40" ht="12" customHeight="1">
      <c r="A49" s="554"/>
      <c r="B49" s="555"/>
      <c r="C49" s="555"/>
      <c r="D49" s="555"/>
      <c r="E49" s="555"/>
      <c r="F49" s="555"/>
      <c r="G49" s="555"/>
      <c r="H49" s="555"/>
      <c r="I49" s="555"/>
      <c r="J49" s="555"/>
      <c r="K49" s="555"/>
      <c r="L49" s="555"/>
      <c r="M49" s="556"/>
      <c r="N49" s="15"/>
      <c r="O49" s="505" t="s">
        <v>740</v>
      </c>
      <c r="P49" s="198"/>
      <c r="Q49" s="198"/>
      <c r="R49" s="506"/>
      <c r="S49" s="509"/>
      <c r="T49" s="510"/>
      <c r="U49" s="509"/>
      <c r="V49" s="510"/>
      <c r="W49" s="509"/>
      <c r="X49" s="510"/>
      <c r="Y49" s="509"/>
      <c r="Z49" s="510"/>
      <c r="AA49" s="509"/>
      <c r="AB49" s="510"/>
      <c r="AC49" s="509"/>
      <c r="AD49" s="510"/>
      <c r="AE49" s="509"/>
      <c r="AF49" s="510"/>
      <c r="AG49" s="509"/>
      <c r="AH49" s="510"/>
      <c r="AI49" s="509"/>
      <c r="AJ49" s="510"/>
      <c r="AK49" s="509"/>
      <c r="AL49" s="510"/>
      <c r="AM49" s="57"/>
      <c r="AN49" s="57"/>
    </row>
    <row r="50" spans="1:40" ht="12" customHeight="1">
      <c r="A50" s="548"/>
      <c r="B50" s="549"/>
      <c r="C50" s="549"/>
      <c r="D50" s="549"/>
      <c r="E50" s="549"/>
      <c r="F50" s="549"/>
      <c r="G50" s="549"/>
      <c r="H50" s="549"/>
      <c r="I50" s="549"/>
      <c r="J50" s="549"/>
      <c r="K50" s="549"/>
      <c r="L50" s="549"/>
      <c r="M50" s="550"/>
      <c r="N50" s="15"/>
      <c r="O50" s="505" t="s">
        <v>741</v>
      </c>
      <c r="P50" s="198"/>
      <c r="Q50" s="198"/>
      <c r="R50" s="506"/>
      <c r="S50" s="507"/>
      <c r="T50" s="508"/>
      <c r="U50" s="503"/>
      <c r="V50" s="504"/>
      <c r="W50" s="503"/>
      <c r="X50" s="504"/>
      <c r="Y50" s="503"/>
      <c r="Z50" s="504"/>
      <c r="AA50" s="503"/>
      <c r="AB50" s="504"/>
      <c r="AC50" s="503"/>
      <c r="AD50" s="504"/>
      <c r="AE50" s="503"/>
      <c r="AF50" s="504"/>
      <c r="AG50" s="503"/>
      <c r="AH50" s="504"/>
      <c r="AI50" s="503"/>
      <c r="AJ50" s="504"/>
      <c r="AK50" s="503"/>
      <c r="AL50" s="504"/>
      <c r="AM50" s="57"/>
      <c r="AN50" s="57"/>
    </row>
    <row r="51" spans="1:40" ht="12" customHeight="1">
      <c r="A51" s="548"/>
      <c r="B51" s="549"/>
      <c r="C51" s="549"/>
      <c r="D51" s="549"/>
      <c r="E51" s="549"/>
      <c r="F51" s="549"/>
      <c r="G51" s="549"/>
      <c r="H51" s="549"/>
      <c r="I51" s="549"/>
      <c r="J51" s="549"/>
      <c r="K51" s="549"/>
      <c r="L51" s="549"/>
      <c r="M51" s="550"/>
      <c r="N51" s="15"/>
      <c r="O51" s="500" t="s">
        <v>742</v>
      </c>
      <c r="P51" s="501"/>
      <c r="Q51" s="501"/>
      <c r="R51" s="502"/>
      <c r="S51" s="489"/>
      <c r="T51" s="490"/>
      <c r="U51" s="489"/>
      <c r="V51" s="490"/>
      <c r="W51" s="489"/>
      <c r="X51" s="490"/>
      <c r="Y51" s="489"/>
      <c r="Z51" s="490"/>
      <c r="AA51" s="489"/>
      <c r="AB51" s="490"/>
      <c r="AC51" s="489"/>
      <c r="AD51" s="490"/>
      <c r="AE51" s="489"/>
      <c r="AF51" s="490"/>
      <c r="AG51" s="489"/>
      <c r="AH51" s="490"/>
      <c r="AI51" s="489"/>
      <c r="AJ51" s="490"/>
      <c r="AK51" s="489"/>
      <c r="AL51" s="490"/>
      <c r="AM51" s="57"/>
      <c r="AN51" s="57"/>
    </row>
    <row r="52" spans="1:40" ht="12" customHeight="1">
      <c r="A52" s="548"/>
      <c r="B52" s="549"/>
      <c r="C52" s="549"/>
      <c r="D52" s="549"/>
      <c r="E52" s="549"/>
      <c r="F52" s="549"/>
      <c r="G52" s="549"/>
      <c r="H52" s="549"/>
      <c r="I52" s="549"/>
      <c r="J52" s="549"/>
      <c r="K52" s="549"/>
      <c r="L52" s="549"/>
      <c r="M52" s="550"/>
      <c r="N52" s="15"/>
      <c r="O52" s="497" t="s">
        <v>743</v>
      </c>
      <c r="P52" s="498"/>
      <c r="Q52" s="498"/>
      <c r="R52" s="499"/>
      <c r="S52" s="268">
        <f>IF(S49="","",SUM(S49:T51))</f>
      </c>
      <c r="T52" s="496"/>
      <c r="U52" s="268">
        <f>IF(U49="","",SUM(U49:V51))</f>
      </c>
      <c r="V52" s="496"/>
      <c r="W52" s="268">
        <f>IF(W49="","",SUM(W49:X51))</f>
      </c>
      <c r="X52" s="496"/>
      <c r="Y52" s="268">
        <f>IF(Y49="","",SUM(Y49:Z51))</f>
      </c>
      <c r="Z52" s="496"/>
      <c r="AA52" s="268">
        <f>IF(AA49="","",SUM(AA49:AB51))</f>
      </c>
      <c r="AB52" s="496"/>
      <c r="AC52" s="268">
        <f>IF(AC49="","",SUM(AC49:AD51))</f>
      </c>
      <c r="AD52" s="496"/>
      <c r="AE52" s="268">
        <f>IF(AE49="","",SUM(AE49:AF51))</f>
      </c>
      <c r="AF52" s="496"/>
      <c r="AG52" s="268">
        <f>IF(AG49="","",SUM(AG49:AH51))</f>
      </c>
      <c r="AH52" s="496"/>
      <c r="AI52" s="268">
        <f>IF(AI49="","",SUM(AI49:AJ51))</f>
      </c>
      <c r="AJ52" s="496"/>
      <c r="AK52" s="268">
        <f>IF(AK49="","",SUM(AK49:AL51))</f>
      </c>
      <c r="AL52" s="496"/>
      <c r="AM52" s="57"/>
      <c r="AN52" s="57"/>
    </row>
    <row r="53" spans="1:40" ht="12" customHeight="1">
      <c r="A53" s="548"/>
      <c r="B53" s="549"/>
      <c r="C53" s="549"/>
      <c r="D53" s="549"/>
      <c r="E53" s="549"/>
      <c r="F53" s="549"/>
      <c r="G53" s="549"/>
      <c r="H53" s="549"/>
      <c r="I53" s="549"/>
      <c r="J53" s="549"/>
      <c r="K53" s="549"/>
      <c r="L53" s="549"/>
      <c r="M53" s="550"/>
      <c r="N53" s="15"/>
      <c r="O53" s="198" t="s">
        <v>961</v>
      </c>
      <c r="P53" s="198"/>
      <c r="Q53" s="198"/>
      <c r="R53" s="198"/>
      <c r="S53" s="491"/>
      <c r="T53" s="491"/>
      <c r="U53" s="334" t="s">
        <v>748</v>
      </c>
      <c r="V53" s="334"/>
      <c r="W53" s="334"/>
      <c r="X53" s="334"/>
      <c r="Y53" s="15"/>
      <c r="Z53" s="15"/>
      <c r="AA53" s="15"/>
      <c r="AB53" s="15"/>
      <c r="AC53" s="15"/>
      <c r="AD53" s="15"/>
      <c r="AE53" s="15"/>
      <c r="AF53" s="15"/>
      <c r="AG53" s="15"/>
      <c r="AH53" s="15"/>
      <c r="AI53" s="15"/>
      <c r="AJ53" s="15"/>
      <c r="AK53" s="15"/>
      <c r="AL53" s="15"/>
      <c r="AM53" s="57"/>
      <c r="AN53" s="57"/>
    </row>
    <row r="54" spans="1:40" ht="12" customHeight="1">
      <c r="A54" s="548"/>
      <c r="B54" s="549"/>
      <c r="C54" s="549"/>
      <c r="D54" s="549"/>
      <c r="E54" s="549"/>
      <c r="F54" s="549"/>
      <c r="G54" s="549"/>
      <c r="H54" s="549"/>
      <c r="I54" s="549"/>
      <c r="J54" s="549"/>
      <c r="K54" s="549"/>
      <c r="L54" s="549"/>
      <c r="M54" s="550"/>
      <c r="N54" s="15"/>
      <c r="O54" s="130"/>
      <c r="P54" s="130"/>
      <c r="Q54" s="133"/>
      <c r="R54" s="133"/>
      <c r="S54" s="151"/>
      <c r="T54" s="152"/>
      <c r="U54" s="152"/>
      <c r="V54" s="153"/>
      <c r="W54" s="154"/>
      <c r="X54" s="155"/>
      <c r="Y54" s="155"/>
      <c r="Z54" s="155"/>
      <c r="AA54" s="155"/>
      <c r="AB54" s="155"/>
      <c r="AE54" s="156"/>
      <c r="AF54" s="156"/>
      <c r="AG54" s="156"/>
      <c r="AH54" s="156"/>
      <c r="AI54" s="156"/>
      <c r="AJ54" s="156"/>
      <c r="AK54" s="156"/>
      <c r="AL54" s="156"/>
      <c r="AM54" s="57"/>
      <c r="AN54" s="57"/>
    </row>
    <row r="55" spans="1:40" ht="12" customHeight="1">
      <c r="A55" s="548"/>
      <c r="B55" s="549"/>
      <c r="C55" s="549"/>
      <c r="D55" s="549"/>
      <c r="E55" s="549"/>
      <c r="F55" s="549"/>
      <c r="G55" s="549"/>
      <c r="H55" s="549"/>
      <c r="I55" s="549"/>
      <c r="J55" s="549"/>
      <c r="K55" s="549"/>
      <c r="L55" s="549"/>
      <c r="M55" s="550"/>
      <c r="N55" s="15"/>
      <c r="O55" s="494" t="s">
        <v>1037</v>
      </c>
      <c r="P55" s="495"/>
      <c r="Q55" s="495"/>
      <c r="R55" s="495"/>
      <c r="S55" s="126" t="s">
        <v>939</v>
      </c>
      <c r="T55" s="127"/>
      <c r="U55" s="127"/>
      <c r="V55" s="127"/>
      <c r="W55" s="127"/>
      <c r="X55" s="127"/>
      <c r="Y55" s="127"/>
      <c r="Z55" s="127"/>
      <c r="AA55" s="127"/>
      <c r="AB55" s="127"/>
      <c r="AC55" s="127"/>
      <c r="AD55" s="127"/>
      <c r="AE55" s="127"/>
      <c r="AF55" s="128"/>
      <c r="AG55" s="492" t="s">
        <v>1038</v>
      </c>
      <c r="AH55" s="492"/>
      <c r="AI55" s="492"/>
      <c r="AJ55" s="492"/>
      <c r="AK55" s="492"/>
      <c r="AL55" s="493"/>
      <c r="AM55" s="57"/>
      <c r="AN55" s="57"/>
    </row>
    <row r="56" spans="1:40" ht="12" customHeight="1">
      <c r="A56" s="548"/>
      <c r="B56" s="549"/>
      <c r="C56" s="549"/>
      <c r="D56" s="549"/>
      <c r="E56" s="549"/>
      <c r="F56" s="549"/>
      <c r="G56" s="549"/>
      <c r="H56" s="549"/>
      <c r="I56" s="549"/>
      <c r="J56" s="549"/>
      <c r="K56" s="549"/>
      <c r="L56" s="549"/>
      <c r="M56" s="550"/>
      <c r="N56" s="15"/>
      <c r="O56" s="121" t="s">
        <v>1018</v>
      </c>
      <c r="P56" s="484" t="s">
        <v>977</v>
      </c>
      <c r="Q56" s="484"/>
      <c r="R56" s="148" t="s">
        <v>1019</v>
      </c>
      <c r="S56" s="129"/>
      <c r="T56" s="130"/>
      <c r="U56" s="130"/>
      <c r="V56" s="130"/>
      <c r="W56" s="130"/>
      <c r="X56" s="130"/>
      <c r="Y56" s="130"/>
      <c r="Z56" s="130"/>
      <c r="AA56" s="130"/>
      <c r="AB56" s="130"/>
      <c r="AC56" s="130"/>
      <c r="AD56" s="130"/>
      <c r="AE56" s="130"/>
      <c r="AF56" s="131"/>
      <c r="AG56" s="122"/>
      <c r="AH56" s="122"/>
      <c r="AI56" s="122"/>
      <c r="AJ56" s="122"/>
      <c r="AK56" s="122"/>
      <c r="AL56" s="123"/>
      <c r="AM56" s="57"/>
      <c r="AN56" s="57"/>
    </row>
    <row r="57" spans="1:40" ht="12" customHeight="1">
      <c r="A57" s="548"/>
      <c r="B57" s="549"/>
      <c r="C57" s="549"/>
      <c r="D57" s="549"/>
      <c r="E57" s="549"/>
      <c r="F57" s="549"/>
      <c r="G57" s="549"/>
      <c r="H57" s="549"/>
      <c r="I57" s="549"/>
      <c r="J57" s="549"/>
      <c r="K57" s="549"/>
      <c r="L57" s="549"/>
      <c r="M57" s="550"/>
      <c r="N57" s="15"/>
      <c r="O57" s="119"/>
      <c r="P57" s="485"/>
      <c r="Q57" s="486"/>
      <c r="R57" s="149"/>
      <c r="S57" s="129"/>
      <c r="T57" s="130"/>
      <c r="U57" s="130"/>
      <c r="V57" s="130"/>
      <c r="W57" s="130"/>
      <c r="X57" s="130"/>
      <c r="Y57" s="130"/>
      <c r="Z57" s="130"/>
      <c r="AA57" s="130"/>
      <c r="AB57" s="130"/>
      <c r="AC57" s="130"/>
      <c r="AD57" s="130"/>
      <c r="AE57" s="130"/>
      <c r="AF57" s="131"/>
      <c r="AG57" s="122"/>
      <c r="AH57" s="122"/>
      <c r="AI57" s="122"/>
      <c r="AJ57" s="122"/>
      <c r="AK57" s="122"/>
      <c r="AL57" s="123"/>
      <c r="AM57" s="57"/>
      <c r="AN57" s="57"/>
    </row>
    <row r="58" spans="1:40" ht="12" customHeight="1">
      <c r="A58" s="548"/>
      <c r="B58" s="549"/>
      <c r="C58" s="549"/>
      <c r="D58" s="549"/>
      <c r="E58" s="549"/>
      <c r="F58" s="549"/>
      <c r="G58" s="549"/>
      <c r="H58" s="549"/>
      <c r="I58" s="549"/>
      <c r="J58" s="549"/>
      <c r="K58" s="549"/>
      <c r="L58" s="549"/>
      <c r="M58" s="550"/>
      <c r="N58" s="15"/>
      <c r="O58" s="118"/>
      <c r="P58" s="487"/>
      <c r="Q58" s="488"/>
      <c r="R58" s="120"/>
      <c r="S58" s="132"/>
      <c r="T58" s="133"/>
      <c r="U58" s="133"/>
      <c r="V58" s="133"/>
      <c r="W58" s="133"/>
      <c r="X58" s="133"/>
      <c r="Y58" s="133"/>
      <c r="Z58" s="133"/>
      <c r="AA58" s="133"/>
      <c r="AB58" s="133"/>
      <c r="AC58" s="133"/>
      <c r="AD58" s="133"/>
      <c r="AE58" s="133"/>
      <c r="AF58" s="134"/>
      <c r="AG58" s="122"/>
      <c r="AH58" s="122"/>
      <c r="AI58" s="122"/>
      <c r="AJ58" s="122"/>
      <c r="AK58" s="122"/>
      <c r="AL58" s="123"/>
      <c r="AM58" s="57"/>
      <c r="AN58" s="57"/>
    </row>
    <row r="59" spans="1:40" ht="12" customHeight="1">
      <c r="A59" s="114"/>
      <c r="B59" s="110"/>
      <c r="C59" s="110"/>
      <c r="D59" s="110"/>
      <c r="E59" s="110"/>
      <c r="F59" s="110"/>
      <c r="G59" s="110"/>
      <c r="H59" s="110"/>
      <c r="I59" s="110"/>
      <c r="J59" s="110"/>
      <c r="K59" s="110"/>
      <c r="L59" s="110"/>
      <c r="M59" s="111"/>
      <c r="N59" s="15"/>
      <c r="O59" s="118"/>
      <c r="P59" s="487"/>
      <c r="Q59" s="488"/>
      <c r="R59" s="120"/>
      <c r="S59" s="132"/>
      <c r="T59" s="133"/>
      <c r="U59" s="133"/>
      <c r="V59" s="133"/>
      <c r="W59" s="133"/>
      <c r="X59" s="133"/>
      <c r="Y59" s="133"/>
      <c r="Z59" s="133"/>
      <c r="AA59" s="133"/>
      <c r="AB59" s="133"/>
      <c r="AC59" s="133"/>
      <c r="AD59" s="133"/>
      <c r="AE59" s="133"/>
      <c r="AF59" s="134"/>
      <c r="AG59" s="122"/>
      <c r="AH59" s="122"/>
      <c r="AI59" s="122"/>
      <c r="AJ59" s="122"/>
      <c r="AK59" s="122"/>
      <c r="AL59" s="123"/>
      <c r="AM59" s="57"/>
      <c r="AN59" s="57"/>
    </row>
    <row r="60" spans="1:40" ht="12" customHeight="1">
      <c r="A60" s="548"/>
      <c r="B60" s="549"/>
      <c r="C60" s="549"/>
      <c r="D60" s="549"/>
      <c r="E60" s="549"/>
      <c r="F60" s="549"/>
      <c r="G60" s="549"/>
      <c r="H60" s="549"/>
      <c r="I60" s="549"/>
      <c r="J60" s="549"/>
      <c r="K60" s="549"/>
      <c r="L60" s="549"/>
      <c r="M60" s="550"/>
      <c r="N60" s="15"/>
      <c r="O60" s="118"/>
      <c r="P60" s="487"/>
      <c r="Q60" s="488"/>
      <c r="R60" s="120"/>
      <c r="S60" s="132"/>
      <c r="T60" s="133"/>
      <c r="U60" s="133"/>
      <c r="V60" s="133"/>
      <c r="W60" s="133"/>
      <c r="X60" s="133"/>
      <c r="Y60" s="133"/>
      <c r="Z60" s="133"/>
      <c r="AA60" s="133"/>
      <c r="AB60" s="133"/>
      <c r="AC60" s="133"/>
      <c r="AD60" s="133"/>
      <c r="AE60" s="133"/>
      <c r="AF60" s="134"/>
      <c r="AG60" s="122"/>
      <c r="AH60" s="122"/>
      <c r="AI60" s="122"/>
      <c r="AJ60" s="122"/>
      <c r="AK60" s="122"/>
      <c r="AL60" s="123"/>
      <c r="AM60" s="57"/>
      <c r="AN60" s="57"/>
    </row>
    <row r="61" spans="1:40" ht="12" customHeight="1">
      <c r="A61" s="548"/>
      <c r="B61" s="549"/>
      <c r="C61" s="549"/>
      <c r="D61" s="549"/>
      <c r="E61" s="549"/>
      <c r="F61" s="549"/>
      <c r="G61" s="549"/>
      <c r="H61" s="549"/>
      <c r="I61" s="549"/>
      <c r="J61" s="549"/>
      <c r="K61" s="549"/>
      <c r="L61" s="549"/>
      <c r="M61" s="550"/>
      <c r="N61" s="15"/>
      <c r="O61" s="118"/>
      <c r="P61" s="487"/>
      <c r="Q61" s="488"/>
      <c r="R61" s="120"/>
      <c r="S61" s="132"/>
      <c r="T61" s="133"/>
      <c r="U61" s="133"/>
      <c r="V61" s="133"/>
      <c r="W61" s="133"/>
      <c r="X61" s="133"/>
      <c r="Y61" s="133"/>
      <c r="Z61" s="133"/>
      <c r="AA61" s="133"/>
      <c r="AB61" s="133"/>
      <c r="AC61" s="133"/>
      <c r="AD61" s="133"/>
      <c r="AE61" s="133"/>
      <c r="AF61" s="134"/>
      <c r="AG61" s="122"/>
      <c r="AH61" s="122"/>
      <c r="AI61" s="122"/>
      <c r="AJ61" s="122"/>
      <c r="AK61" s="122"/>
      <c r="AL61" s="123"/>
      <c r="AM61" s="57"/>
      <c r="AN61" s="57"/>
    </row>
    <row r="62" spans="1:40" ht="12" customHeight="1">
      <c r="A62" s="551"/>
      <c r="B62" s="552"/>
      <c r="C62" s="552"/>
      <c r="D62" s="552"/>
      <c r="E62" s="552"/>
      <c r="F62" s="552"/>
      <c r="G62" s="552"/>
      <c r="H62" s="552"/>
      <c r="I62" s="552"/>
      <c r="J62" s="552"/>
      <c r="K62" s="552"/>
      <c r="L62" s="552"/>
      <c r="M62" s="553"/>
      <c r="N62" s="115"/>
      <c r="O62" s="117"/>
      <c r="P62" s="525"/>
      <c r="Q62" s="526"/>
      <c r="R62" s="150"/>
      <c r="S62" s="135"/>
      <c r="T62" s="136"/>
      <c r="U62" s="136"/>
      <c r="V62" s="136"/>
      <c r="W62" s="136"/>
      <c r="X62" s="136"/>
      <c r="Y62" s="136"/>
      <c r="Z62" s="136"/>
      <c r="AA62" s="136"/>
      <c r="AB62" s="136"/>
      <c r="AC62" s="136"/>
      <c r="AD62" s="136"/>
      <c r="AE62" s="136"/>
      <c r="AF62" s="137"/>
      <c r="AG62" s="124"/>
      <c r="AH62" s="124"/>
      <c r="AI62" s="124"/>
      <c r="AJ62" s="124"/>
      <c r="AK62" s="124"/>
      <c r="AL62" s="125"/>
      <c r="AM62" s="57"/>
      <c r="AN62" s="57"/>
    </row>
  </sheetData>
  <sheetProtection formatCells="0" formatColumns="0" formatRows="0"/>
  <mergeCells count="345">
    <mergeCell ref="AP12:AU17"/>
    <mergeCell ref="A11:AL11"/>
    <mergeCell ref="AK16:AL16"/>
    <mergeCell ref="AC16:AJ16"/>
    <mergeCell ref="AC17:AJ17"/>
    <mergeCell ref="A17:G17"/>
    <mergeCell ref="H17:I17"/>
    <mergeCell ref="J17:L17"/>
    <mergeCell ref="O17:U17"/>
    <mergeCell ref="V17:W17"/>
    <mergeCell ref="H23:I23"/>
    <mergeCell ref="AC25:AJ25"/>
    <mergeCell ref="AC26:AJ26"/>
    <mergeCell ref="H26:I26"/>
    <mergeCell ref="J26:L26"/>
    <mergeCell ref="O26:U26"/>
    <mergeCell ref="O25:U25"/>
    <mergeCell ref="V26:W26"/>
    <mergeCell ref="X26:Z26"/>
    <mergeCell ref="AA26:AB26"/>
    <mergeCell ref="J24:L24"/>
    <mergeCell ref="O24:U24"/>
    <mergeCell ref="V24:W24"/>
    <mergeCell ref="X24:Z24"/>
    <mergeCell ref="M24:N24"/>
    <mergeCell ref="V20:W20"/>
    <mergeCell ref="X20:Z20"/>
    <mergeCell ref="AA20:AB20"/>
    <mergeCell ref="O21:U21"/>
    <mergeCell ref="V21:W21"/>
    <mergeCell ref="X21:Z21"/>
    <mergeCell ref="V18:W18"/>
    <mergeCell ref="X18:Z18"/>
    <mergeCell ref="H19:I19"/>
    <mergeCell ref="J19:L19"/>
    <mergeCell ref="O19:U19"/>
    <mergeCell ref="V19:W19"/>
    <mergeCell ref="X19:Z19"/>
    <mergeCell ref="H18:I18"/>
    <mergeCell ref="X17:Z17"/>
    <mergeCell ref="AA17:AB17"/>
    <mergeCell ref="O16:U16"/>
    <mergeCell ref="AA14:AB14"/>
    <mergeCell ref="V16:W16"/>
    <mergeCell ref="X16:Z16"/>
    <mergeCell ref="AA16:AB16"/>
    <mergeCell ref="V15:W15"/>
    <mergeCell ref="X15:Z15"/>
    <mergeCell ref="AA15:AB15"/>
    <mergeCell ref="X13:Z13"/>
    <mergeCell ref="A14:G14"/>
    <mergeCell ref="H14:I14"/>
    <mergeCell ref="J14:L14"/>
    <mergeCell ref="A48:M48"/>
    <mergeCell ref="AC13:AJ13"/>
    <mergeCell ref="A13:G13"/>
    <mergeCell ref="H13:I13"/>
    <mergeCell ref="J13:L13"/>
    <mergeCell ref="O13:U13"/>
    <mergeCell ref="O14:U14"/>
    <mergeCell ref="V14:W14"/>
    <mergeCell ref="X14:Z14"/>
    <mergeCell ref="V13:W13"/>
    <mergeCell ref="M12:N12"/>
    <mergeCell ref="M13:N13"/>
    <mergeCell ref="M14:N14"/>
    <mergeCell ref="M25:N25"/>
    <mergeCell ref="U48:V48"/>
    <mergeCell ref="J23:L23"/>
    <mergeCell ref="O15:U15"/>
    <mergeCell ref="O18:U18"/>
    <mergeCell ref="O20:U20"/>
    <mergeCell ref="M21:N21"/>
    <mergeCell ref="M23:N23"/>
    <mergeCell ref="M22:N22"/>
    <mergeCell ref="M16:N16"/>
    <mergeCell ref="O48:R48"/>
    <mergeCell ref="AK52:AL52"/>
    <mergeCell ref="AA48:AB48"/>
    <mergeCell ref="AA49:AB49"/>
    <mergeCell ref="AA50:AB50"/>
    <mergeCell ref="AA51:AB51"/>
    <mergeCell ref="AK49:AL49"/>
    <mergeCell ref="AI50:AJ50"/>
    <mergeCell ref="AK50:AL50"/>
    <mergeCell ref="AK51:AL51"/>
    <mergeCell ref="AE52:AF52"/>
    <mergeCell ref="AA42:AC42"/>
    <mergeCell ref="AA43:AC43"/>
    <mergeCell ref="AA52:AB52"/>
    <mergeCell ref="AG52:AH52"/>
    <mergeCell ref="AD42:AL42"/>
    <mergeCell ref="AD43:AL43"/>
    <mergeCell ref="AG48:AH48"/>
    <mergeCell ref="AI48:AJ48"/>
    <mergeCell ref="AK48:AL48"/>
    <mergeCell ref="AI49:AJ49"/>
    <mergeCell ref="O42:Q42"/>
    <mergeCell ref="R42:Z42"/>
    <mergeCell ref="O43:Q43"/>
    <mergeCell ref="R43:Z43"/>
    <mergeCell ref="AK27:AL27"/>
    <mergeCell ref="O53:R53"/>
    <mergeCell ref="O47:AL47"/>
    <mergeCell ref="O45:Q45"/>
    <mergeCell ref="R45:Z45"/>
    <mergeCell ref="AA45:AC45"/>
    <mergeCell ref="AD45:AL45"/>
    <mergeCell ref="S48:T48"/>
    <mergeCell ref="O40:Q40"/>
    <mergeCell ref="R40:Z40"/>
    <mergeCell ref="AK24:AL24"/>
    <mergeCell ref="AK22:AL22"/>
    <mergeCell ref="AK23:AL23"/>
    <mergeCell ref="O39:AL39"/>
    <mergeCell ref="X25:Z25"/>
    <mergeCell ref="AA25:AB25"/>
    <mergeCell ref="AC23:AJ23"/>
    <mergeCell ref="AA24:AB24"/>
    <mergeCell ref="AC24:AJ24"/>
    <mergeCell ref="V25:W25"/>
    <mergeCell ref="AK12:AL12"/>
    <mergeCell ref="AK21:AL21"/>
    <mergeCell ref="AA21:AB21"/>
    <mergeCell ref="AC21:AJ21"/>
    <mergeCell ref="AK13:AL13"/>
    <mergeCell ref="AK17:AL17"/>
    <mergeCell ref="AK14:AL14"/>
    <mergeCell ref="AK15:AL15"/>
    <mergeCell ref="AC14:AJ14"/>
    <mergeCell ref="AC15:AJ15"/>
    <mergeCell ref="AK18:AL18"/>
    <mergeCell ref="AK20:AL20"/>
    <mergeCell ref="AK19:AL19"/>
    <mergeCell ref="AC20:AJ20"/>
    <mergeCell ref="AC18:AJ18"/>
    <mergeCell ref="AC19:AJ19"/>
    <mergeCell ref="A3:L3"/>
    <mergeCell ref="D2:L2"/>
    <mergeCell ref="O2:Z2"/>
    <mergeCell ref="M3:Z3"/>
    <mergeCell ref="A4:L4"/>
    <mergeCell ref="A5:L5"/>
    <mergeCell ref="A6:L6"/>
    <mergeCell ref="A12:G12"/>
    <mergeCell ref="A9:L9"/>
    <mergeCell ref="A7:L7"/>
    <mergeCell ref="A8:L8"/>
    <mergeCell ref="H12:I12"/>
    <mergeCell ref="AA19:AB19"/>
    <mergeCell ref="AA18:AB18"/>
    <mergeCell ref="J12:L12"/>
    <mergeCell ref="O12:U12"/>
    <mergeCell ref="M17:N17"/>
    <mergeCell ref="AA13:AB13"/>
    <mergeCell ref="V12:W12"/>
    <mergeCell ref="X12:Z12"/>
    <mergeCell ref="AA12:AB12"/>
    <mergeCell ref="M19:N19"/>
    <mergeCell ref="AA3:AL3"/>
    <mergeCell ref="AA4:AL4"/>
    <mergeCell ref="AA5:AL5"/>
    <mergeCell ref="M6:Z6"/>
    <mergeCell ref="AA6:AL6"/>
    <mergeCell ref="M4:Z4"/>
    <mergeCell ref="M5:Z5"/>
    <mergeCell ref="A18:G18"/>
    <mergeCell ref="A19:G19"/>
    <mergeCell ref="M18:N18"/>
    <mergeCell ref="H21:I21"/>
    <mergeCell ref="J18:L18"/>
    <mergeCell ref="A20:G20"/>
    <mergeCell ref="H20:I20"/>
    <mergeCell ref="J20:L20"/>
    <mergeCell ref="J21:L21"/>
    <mergeCell ref="M20:N20"/>
    <mergeCell ref="A1:AL1"/>
    <mergeCell ref="A2:C2"/>
    <mergeCell ref="M2:N2"/>
    <mergeCell ref="AA2:AB2"/>
    <mergeCell ref="AC2:AL2"/>
    <mergeCell ref="AA9:AL9"/>
    <mergeCell ref="M7:Z7"/>
    <mergeCell ref="A15:G15"/>
    <mergeCell ref="H15:I15"/>
    <mergeCell ref="J15:L15"/>
    <mergeCell ref="AC12:AJ12"/>
    <mergeCell ref="M9:Z9"/>
    <mergeCell ref="AA7:AL7"/>
    <mergeCell ref="AA8:AL8"/>
    <mergeCell ref="M8:Z8"/>
    <mergeCell ref="A16:G16"/>
    <mergeCell ref="H16:I16"/>
    <mergeCell ref="J16:L16"/>
    <mergeCell ref="M15:N15"/>
    <mergeCell ref="AC22:AJ22"/>
    <mergeCell ref="F30:M30"/>
    <mergeCell ref="A29:M29"/>
    <mergeCell ref="V22:W22"/>
    <mergeCell ref="AC27:AJ27"/>
    <mergeCell ref="M26:N26"/>
    <mergeCell ref="H22:I22"/>
    <mergeCell ref="J22:L22"/>
    <mergeCell ref="O22:U22"/>
    <mergeCell ref="AA22:AB22"/>
    <mergeCell ref="A36:M36"/>
    <mergeCell ref="H25:I25"/>
    <mergeCell ref="J25:L25"/>
    <mergeCell ref="AK25:AL25"/>
    <mergeCell ref="AK26:AL26"/>
    <mergeCell ref="AK36:AL36"/>
    <mergeCell ref="F31:M31"/>
    <mergeCell ref="F32:M32"/>
    <mergeCell ref="F33:M33"/>
    <mergeCell ref="W29:AL29"/>
    <mergeCell ref="O37:AL37"/>
    <mergeCell ref="O36:T36"/>
    <mergeCell ref="U36:V36"/>
    <mergeCell ref="A21:G21"/>
    <mergeCell ref="A31:B31"/>
    <mergeCell ref="A32:B32"/>
    <mergeCell ref="A30:E30"/>
    <mergeCell ref="A23:G23"/>
    <mergeCell ref="A24:G24"/>
    <mergeCell ref="A25:G25"/>
    <mergeCell ref="H24:I24"/>
    <mergeCell ref="A22:G22"/>
    <mergeCell ref="A33:B33"/>
    <mergeCell ref="A34:B34"/>
    <mergeCell ref="C31:E31"/>
    <mergeCell ref="C32:E32"/>
    <mergeCell ref="C33:E33"/>
    <mergeCell ref="C34:E34"/>
    <mergeCell ref="A26:G26"/>
    <mergeCell ref="F34:M34"/>
    <mergeCell ref="A49:M49"/>
    <mergeCell ref="A50:M50"/>
    <mergeCell ref="A51:M51"/>
    <mergeCell ref="A52:M52"/>
    <mergeCell ref="AK30:AL30"/>
    <mergeCell ref="A61:M61"/>
    <mergeCell ref="A62:M62"/>
    <mergeCell ref="A57:M57"/>
    <mergeCell ref="A58:M58"/>
    <mergeCell ref="A60:M60"/>
    <mergeCell ref="A53:M53"/>
    <mergeCell ref="A54:M54"/>
    <mergeCell ref="A55:M55"/>
    <mergeCell ref="A56:M56"/>
    <mergeCell ref="O29:V29"/>
    <mergeCell ref="O32:T32"/>
    <mergeCell ref="U32:V32"/>
    <mergeCell ref="AE31:AJ31"/>
    <mergeCell ref="O31:T31"/>
    <mergeCell ref="W30:AB30"/>
    <mergeCell ref="AC30:AD30"/>
    <mergeCell ref="O30:T30"/>
    <mergeCell ref="U30:V30"/>
    <mergeCell ref="AE30:AJ30"/>
    <mergeCell ref="AK31:AL31"/>
    <mergeCell ref="AE32:AJ32"/>
    <mergeCell ref="AK32:AL32"/>
    <mergeCell ref="U31:V31"/>
    <mergeCell ref="W32:AB32"/>
    <mergeCell ref="AC32:AD32"/>
    <mergeCell ref="W31:AB31"/>
    <mergeCell ref="AC31:AD31"/>
    <mergeCell ref="O33:T33"/>
    <mergeCell ref="U33:V33"/>
    <mergeCell ref="AE33:AJ33"/>
    <mergeCell ref="AK33:AL33"/>
    <mergeCell ref="W33:AB33"/>
    <mergeCell ref="AC33:AD33"/>
    <mergeCell ref="AK35:AL35"/>
    <mergeCell ref="O34:T34"/>
    <mergeCell ref="U34:V34"/>
    <mergeCell ref="W34:AB34"/>
    <mergeCell ref="AC34:AD34"/>
    <mergeCell ref="AE34:AJ34"/>
    <mergeCell ref="AK34:AL34"/>
    <mergeCell ref="W36:AB36"/>
    <mergeCell ref="AC36:AD36"/>
    <mergeCell ref="AE36:AJ36"/>
    <mergeCell ref="O35:T35"/>
    <mergeCell ref="U35:V35"/>
    <mergeCell ref="W35:AB35"/>
    <mergeCell ref="AC35:AD35"/>
    <mergeCell ref="AE35:AJ35"/>
    <mergeCell ref="P62:Q62"/>
    <mergeCell ref="P60:Q60"/>
    <mergeCell ref="P61:Q61"/>
    <mergeCell ref="P59:Q59"/>
    <mergeCell ref="AA40:AC40"/>
    <mergeCell ref="AD40:AL40"/>
    <mergeCell ref="O41:Q41"/>
    <mergeCell ref="R41:Z41"/>
    <mergeCell ref="AA41:AC41"/>
    <mergeCell ref="AD41:AL41"/>
    <mergeCell ref="O44:Q44"/>
    <mergeCell ref="R44:Z44"/>
    <mergeCell ref="AA44:AC44"/>
    <mergeCell ref="AD44:AL44"/>
    <mergeCell ref="W48:X48"/>
    <mergeCell ref="Y48:Z48"/>
    <mergeCell ref="AC48:AD48"/>
    <mergeCell ref="AE48:AF48"/>
    <mergeCell ref="O49:R49"/>
    <mergeCell ref="S49:T49"/>
    <mergeCell ref="U49:V49"/>
    <mergeCell ref="W49:X49"/>
    <mergeCell ref="Y49:Z49"/>
    <mergeCell ref="AC49:AD49"/>
    <mergeCell ref="AE49:AF49"/>
    <mergeCell ref="AG49:AH49"/>
    <mergeCell ref="O50:R50"/>
    <mergeCell ref="S50:T50"/>
    <mergeCell ref="U50:V50"/>
    <mergeCell ref="W50:X50"/>
    <mergeCell ref="Y50:Z50"/>
    <mergeCell ref="AC50:AD50"/>
    <mergeCell ref="AE50:AF50"/>
    <mergeCell ref="AG50:AH50"/>
    <mergeCell ref="O51:R51"/>
    <mergeCell ref="S51:T51"/>
    <mergeCell ref="U51:V51"/>
    <mergeCell ref="W51:X51"/>
    <mergeCell ref="Y51:Z51"/>
    <mergeCell ref="AC51:AD51"/>
    <mergeCell ref="AE51:AF51"/>
    <mergeCell ref="AI51:AJ51"/>
    <mergeCell ref="AI52:AJ52"/>
    <mergeCell ref="O52:R52"/>
    <mergeCell ref="S52:T52"/>
    <mergeCell ref="U52:V52"/>
    <mergeCell ref="W52:X52"/>
    <mergeCell ref="P56:Q56"/>
    <mergeCell ref="P57:Q57"/>
    <mergeCell ref="P58:Q58"/>
    <mergeCell ref="AG51:AH51"/>
    <mergeCell ref="S53:T53"/>
    <mergeCell ref="U53:X53"/>
    <mergeCell ref="AG55:AL55"/>
    <mergeCell ref="O55:R55"/>
    <mergeCell ref="Y52:Z52"/>
    <mergeCell ref="AC52:AD52"/>
  </mergeCells>
  <printOptions verticalCentered="1"/>
  <pageMargins left="0.5" right="0.4" top="0.35" bottom="0.35" header="0" footer="0"/>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61"/>
  </sheetPr>
  <dimension ref="A1:K47"/>
  <sheetViews>
    <sheetView showGridLines="0" zoomScale="120" zoomScaleNormal="120" workbookViewId="0" topLeftCell="A1">
      <selection activeCell="C2" sqref="C2:F2"/>
    </sheetView>
  </sheetViews>
  <sheetFormatPr defaultColWidth="9.140625" defaultRowHeight="12.75"/>
  <cols>
    <col min="1" max="1" width="3.28125" style="174" bestFit="1" customWidth="1"/>
    <col min="2" max="2" width="15.421875" style="166" bestFit="1" customWidth="1"/>
    <col min="3" max="3" width="5.140625" style="166" bestFit="1" customWidth="1"/>
    <col min="4" max="4" width="7.57421875" style="166" bestFit="1" customWidth="1"/>
    <col min="5" max="5" width="9.00390625" style="166" bestFit="1" customWidth="1"/>
    <col min="6" max="6" width="6.421875" style="166" bestFit="1" customWidth="1"/>
    <col min="7" max="7" width="43.421875" style="166" bestFit="1" customWidth="1"/>
    <col min="8" max="8" width="13.7109375" style="166" bestFit="1" customWidth="1"/>
    <col min="9" max="9" width="11.28125" style="166" customWidth="1"/>
    <col min="10" max="10" width="7.00390625" style="166" bestFit="1" customWidth="1"/>
    <col min="11" max="11" width="4.7109375" style="174" bestFit="1" customWidth="1"/>
    <col min="12" max="16384" width="9.140625" style="166" customWidth="1"/>
  </cols>
  <sheetData>
    <row r="1" spans="1:11" ht="19.5" thickBot="1">
      <c r="A1" s="701" t="str">
        <f>'Character Sheet p1'!F2&amp;": Arcane Spells"</f>
        <v>: Arcane Spells</v>
      </c>
      <c r="B1" s="701"/>
      <c r="C1" s="701"/>
      <c r="D1" s="701"/>
      <c r="E1" s="701"/>
      <c r="F1" s="701"/>
      <c r="G1" s="701"/>
      <c r="H1" s="701"/>
      <c r="I1" s="701"/>
      <c r="J1" s="701"/>
      <c r="K1" s="701"/>
    </row>
    <row r="2" spans="1:11" s="171" customFormat="1" ht="13.5" thickBot="1">
      <c r="A2" s="175"/>
      <c r="B2" s="170" t="s">
        <v>235</v>
      </c>
      <c r="C2" s="702" t="s">
        <v>236</v>
      </c>
      <c r="D2" s="703"/>
      <c r="E2" s="703"/>
      <c r="F2" s="704"/>
      <c r="G2" s="173"/>
      <c r="H2" s="173"/>
      <c r="I2" s="173"/>
      <c r="J2" s="173"/>
      <c r="K2" s="175"/>
    </row>
    <row r="3" spans="1:11" s="171" customFormat="1" ht="12.75">
      <c r="A3" s="175"/>
      <c r="B3" s="170"/>
      <c r="C3" s="179"/>
      <c r="D3" s="173"/>
      <c r="E3" s="173"/>
      <c r="F3" s="173"/>
      <c r="G3" s="173"/>
      <c r="H3" s="173"/>
      <c r="I3" s="173"/>
      <c r="J3" s="173"/>
      <c r="K3" s="175"/>
    </row>
    <row r="4" spans="1:11" s="171" customFormat="1" ht="12.75">
      <c r="A4" s="700" t="s">
        <v>204</v>
      </c>
      <c r="B4" s="700"/>
      <c r="C4" s="179"/>
      <c r="D4" s="173"/>
      <c r="E4" s="173"/>
      <c r="F4" s="173"/>
      <c r="G4" s="173"/>
      <c r="H4" s="173"/>
      <c r="I4" s="173"/>
      <c r="J4" s="173"/>
      <c r="K4" s="175"/>
    </row>
    <row r="5" spans="1:11" ht="11.25">
      <c r="A5" s="176" t="s">
        <v>233</v>
      </c>
      <c r="B5" s="167" t="s">
        <v>795</v>
      </c>
      <c r="C5" s="167" t="s">
        <v>1050</v>
      </c>
      <c r="D5" s="167" t="s">
        <v>1051</v>
      </c>
      <c r="E5" s="167" t="s">
        <v>1052</v>
      </c>
      <c r="F5" s="167" t="s">
        <v>728</v>
      </c>
      <c r="G5" s="167" t="s">
        <v>1053</v>
      </c>
      <c r="H5" s="167" t="s">
        <v>796</v>
      </c>
      <c r="I5" s="167" t="s">
        <v>797</v>
      </c>
      <c r="J5" s="167" t="s">
        <v>1054</v>
      </c>
      <c r="K5" s="176" t="s">
        <v>1055</v>
      </c>
    </row>
    <row r="6" spans="1:11" ht="11.25">
      <c r="A6" s="177">
        <v>0</v>
      </c>
      <c r="B6" s="168" t="s">
        <v>1066</v>
      </c>
      <c r="C6" s="168" t="s">
        <v>815</v>
      </c>
      <c r="D6" s="168" t="s">
        <v>1067</v>
      </c>
      <c r="E6" s="168" t="s">
        <v>1059</v>
      </c>
      <c r="F6" s="168" t="s">
        <v>206</v>
      </c>
      <c r="G6" s="168" t="s">
        <v>1068</v>
      </c>
      <c r="H6" s="168" t="s">
        <v>1069</v>
      </c>
      <c r="I6" s="168" t="s">
        <v>1061</v>
      </c>
      <c r="J6" s="168" t="s">
        <v>801</v>
      </c>
      <c r="K6" s="177" t="s">
        <v>1057</v>
      </c>
    </row>
    <row r="7" spans="1:11" ht="11.25">
      <c r="A7" s="178">
        <v>0</v>
      </c>
      <c r="B7" s="169" t="s">
        <v>798</v>
      </c>
      <c r="C7" s="169" t="s">
        <v>1123</v>
      </c>
      <c r="D7" s="169" t="s">
        <v>1067</v>
      </c>
      <c r="E7" s="169" t="s">
        <v>1059</v>
      </c>
      <c r="F7" s="169" t="s">
        <v>1124</v>
      </c>
      <c r="G7" s="169" t="s">
        <v>1125</v>
      </c>
      <c r="H7" s="169" t="s">
        <v>800</v>
      </c>
      <c r="I7" s="169" t="s">
        <v>1061</v>
      </c>
      <c r="J7" s="169" t="s">
        <v>801</v>
      </c>
      <c r="K7" s="178" t="s">
        <v>1057</v>
      </c>
    </row>
    <row r="8" spans="1:11" ht="11.25">
      <c r="A8" s="177">
        <v>0</v>
      </c>
      <c r="B8" s="168" t="s">
        <v>806</v>
      </c>
      <c r="C8" s="168" t="s">
        <v>822</v>
      </c>
      <c r="D8" s="168" t="s">
        <v>1067</v>
      </c>
      <c r="E8" s="168" t="s">
        <v>1059</v>
      </c>
      <c r="F8" s="168" t="s">
        <v>1246</v>
      </c>
      <c r="G8" s="168" t="s">
        <v>1297</v>
      </c>
      <c r="H8" s="168" t="s">
        <v>208</v>
      </c>
      <c r="I8" s="168" t="s">
        <v>1061</v>
      </c>
      <c r="J8" s="168" t="s">
        <v>801</v>
      </c>
      <c r="K8" s="177" t="s">
        <v>1057</v>
      </c>
    </row>
    <row r="9" spans="1:11" ht="11.25">
      <c r="A9" s="178">
        <v>0</v>
      </c>
      <c r="B9" s="169" t="s">
        <v>823</v>
      </c>
      <c r="C9" s="169" t="s">
        <v>822</v>
      </c>
      <c r="D9" s="169" t="s">
        <v>1067</v>
      </c>
      <c r="E9" s="169" t="s">
        <v>1059</v>
      </c>
      <c r="F9" s="169" t="s">
        <v>206</v>
      </c>
      <c r="G9" s="169" t="s">
        <v>1309</v>
      </c>
      <c r="H9" s="169" t="s">
        <v>1069</v>
      </c>
      <c r="I9" s="169" t="s">
        <v>1061</v>
      </c>
      <c r="J9" s="169" t="s">
        <v>801</v>
      </c>
      <c r="K9" s="178" t="s">
        <v>1057</v>
      </c>
    </row>
    <row r="10" spans="1:11" ht="11.25">
      <c r="A10" s="177">
        <v>0</v>
      </c>
      <c r="B10" s="168" t="s">
        <v>645</v>
      </c>
      <c r="C10" s="168" t="s">
        <v>1162</v>
      </c>
      <c r="D10" s="168" t="s">
        <v>1289</v>
      </c>
      <c r="E10" s="168" t="s">
        <v>1059</v>
      </c>
      <c r="F10" s="168" t="s">
        <v>799</v>
      </c>
      <c r="G10" s="168" t="s">
        <v>1290</v>
      </c>
      <c r="H10" s="168" t="s">
        <v>210</v>
      </c>
      <c r="I10" s="168" t="s">
        <v>1061</v>
      </c>
      <c r="J10" s="168" t="s">
        <v>801</v>
      </c>
      <c r="K10" s="177" t="s">
        <v>1057</v>
      </c>
    </row>
    <row r="11" spans="1:11" ht="11.25">
      <c r="A11" s="178">
        <v>0</v>
      </c>
      <c r="B11" s="169" t="s">
        <v>810</v>
      </c>
      <c r="C11" s="169" t="s">
        <v>811</v>
      </c>
      <c r="D11" s="169" t="s">
        <v>1067</v>
      </c>
      <c r="E11" s="169" t="s">
        <v>1059</v>
      </c>
      <c r="F11" s="169" t="s">
        <v>1109</v>
      </c>
      <c r="G11" s="169" t="s">
        <v>184</v>
      </c>
      <c r="H11" s="169" t="s">
        <v>1069</v>
      </c>
      <c r="I11" s="169" t="s">
        <v>1081</v>
      </c>
      <c r="J11" s="169" t="s">
        <v>1082</v>
      </c>
      <c r="K11" s="178" t="s">
        <v>1057</v>
      </c>
    </row>
    <row r="12" spans="1:11" ht="11.25">
      <c r="A12" s="177">
        <v>0</v>
      </c>
      <c r="B12" s="168" t="s">
        <v>816</v>
      </c>
      <c r="C12" s="168" t="s">
        <v>822</v>
      </c>
      <c r="D12" s="168" t="s">
        <v>1086</v>
      </c>
      <c r="E12" s="168" t="s">
        <v>1059</v>
      </c>
      <c r="F12" s="168" t="s">
        <v>817</v>
      </c>
      <c r="G12" s="168" t="s">
        <v>1084</v>
      </c>
      <c r="H12" s="168" t="s">
        <v>1118</v>
      </c>
      <c r="I12" s="168" t="s">
        <v>1061</v>
      </c>
      <c r="J12" s="168" t="s">
        <v>801</v>
      </c>
      <c r="K12" s="177" t="s">
        <v>1057</v>
      </c>
    </row>
    <row r="13" spans="1:11" ht="11.25">
      <c r="A13" s="178">
        <v>0</v>
      </c>
      <c r="B13" s="169" t="s">
        <v>818</v>
      </c>
      <c r="C13" s="169" t="s">
        <v>845</v>
      </c>
      <c r="D13" s="169" t="s">
        <v>1064</v>
      </c>
      <c r="E13" s="169" t="s">
        <v>1059</v>
      </c>
      <c r="F13" s="169" t="s">
        <v>799</v>
      </c>
      <c r="G13" s="169" t="s">
        <v>1152</v>
      </c>
      <c r="H13" s="169" t="s">
        <v>1135</v>
      </c>
      <c r="I13" s="169" t="s">
        <v>1153</v>
      </c>
      <c r="J13" s="169" t="s">
        <v>1073</v>
      </c>
      <c r="K13" s="178" t="s">
        <v>1057</v>
      </c>
    </row>
    <row r="14" spans="1:11" ht="11.25">
      <c r="A14" s="177">
        <v>0</v>
      </c>
      <c r="B14" s="168" t="s">
        <v>802</v>
      </c>
      <c r="C14" s="168" t="s">
        <v>1162</v>
      </c>
      <c r="D14" s="168" t="s">
        <v>1067</v>
      </c>
      <c r="E14" s="168" t="s">
        <v>1059</v>
      </c>
      <c r="F14" s="168" t="s">
        <v>212</v>
      </c>
      <c r="G14" s="168" t="s">
        <v>1288</v>
      </c>
      <c r="H14" s="168" t="s">
        <v>213</v>
      </c>
      <c r="I14" s="168" t="s">
        <v>1061</v>
      </c>
      <c r="J14" s="168" t="s">
        <v>801</v>
      </c>
      <c r="K14" s="177" t="s">
        <v>1057</v>
      </c>
    </row>
    <row r="15" spans="1:11" ht="11.25">
      <c r="A15" s="178">
        <v>0</v>
      </c>
      <c r="B15" s="169" t="s">
        <v>803</v>
      </c>
      <c r="C15" s="169" t="s">
        <v>804</v>
      </c>
      <c r="D15" s="169" t="s">
        <v>1091</v>
      </c>
      <c r="E15" s="169" t="s">
        <v>1059</v>
      </c>
      <c r="F15" s="169" t="s">
        <v>206</v>
      </c>
      <c r="G15" s="169" t="s">
        <v>1292</v>
      </c>
      <c r="H15" s="169" t="s">
        <v>1108</v>
      </c>
      <c r="I15" s="169" t="s">
        <v>1141</v>
      </c>
      <c r="J15" s="169" t="s">
        <v>805</v>
      </c>
      <c r="K15" s="178" t="s">
        <v>1057</v>
      </c>
    </row>
    <row r="16" spans="1:11" ht="11.25">
      <c r="A16" s="177">
        <v>0</v>
      </c>
      <c r="B16" s="168" t="s">
        <v>942</v>
      </c>
      <c r="C16" s="168" t="s">
        <v>826</v>
      </c>
      <c r="D16" s="168" t="s">
        <v>1067</v>
      </c>
      <c r="E16" s="168" t="s">
        <v>1059</v>
      </c>
      <c r="F16" s="168" t="s">
        <v>206</v>
      </c>
      <c r="G16" s="168" t="s">
        <v>1326</v>
      </c>
      <c r="H16" s="168" t="s">
        <v>1069</v>
      </c>
      <c r="I16" s="168" t="s">
        <v>1061</v>
      </c>
      <c r="J16" s="168" t="s">
        <v>805</v>
      </c>
      <c r="K16" s="177" t="s">
        <v>1057</v>
      </c>
    </row>
    <row r="17" spans="1:11" ht="11.25">
      <c r="A17" s="178">
        <v>0</v>
      </c>
      <c r="B17" s="169" t="s">
        <v>807</v>
      </c>
      <c r="C17" s="169" t="s">
        <v>1162</v>
      </c>
      <c r="D17" s="169" t="s">
        <v>1104</v>
      </c>
      <c r="E17" s="169" t="s">
        <v>1059</v>
      </c>
      <c r="F17" s="169" t="s">
        <v>206</v>
      </c>
      <c r="G17" s="169" t="s">
        <v>1430</v>
      </c>
      <c r="H17" s="169" t="s">
        <v>1069</v>
      </c>
      <c r="I17" s="169" t="s">
        <v>1090</v>
      </c>
      <c r="J17" s="169" t="s">
        <v>805</v>
      </c>
      <c r="K17" s="178" t="s">
        <v>1057</v>
      </c>
    </row>
    <row r="18" spans="1:11" ht="11.25">
      <c r="A18" s="177">
        <v>0</v>
      </c>
      <c r="B18" s="168" t="s">
        <v>808</v>
      </c>
      <c r="C18" s="168" t="s">
        <v>1179</v>
      </c>
      <c r="D18" s="168" t="s">
        <v>1091</v>
      </c>
      <c r="E18" s="168" t="s">
        <v>1059</v>
      </c>
      <c r="F18" s="168" t="s">
        <v>206</v>
      </c>
      <c r="G18" s="168" t="s">
        <v>1461</v>
      </c>
      <c r="H18" s="168" t="s">
        <v>217</v>
      </c>
      <c r="I18" s="168" t="s">
        <v>1462</v>
      </c>
      <c r="J18" s="168" t="s">
        <v>801</v>
      </c>
      <c r="K18" s="177" t="s">
        <v>1057</v>
      </c>
    </row>
    <row r="19" spans="1:11" ht="11.25">
      <c r="A19" s="178">
        <v>0</v>
      </c>
      <c r="B19" s="169" t="s">
        <v>809</v>
      </c>
      <c r="C19" s="169" t="s">
        <v>811</v>
      </c>
      <c r="D19" s="169" t="s">
        <v>1067</v>
      </c>
      <c r="E19" s="169" t="s">
        <v>1059</v>
      </c>
      <c r="F19" s="169" t="s">
        <v>206</v>
      </c>
      <c r="G19" s="169" t="s">
        <v>145</v>
      </c>
      <c r="H19" s="169" t="s">
        <v>1097</v>
      </c>
      <c r="I19" s="169" t="s">
        <v>1061</v>
      </c>
      <c r="J19" s="169" t="s">
        <v>801</v>
      </c>
      <c r="K19" s="178" t="s">
        <v>1057</v>
      </c>
    </row>
    <row r="20" spans="1:11" ht="11.25">
      <c r="A20" s="177">
        <v>0</v>
      </c>
      <c r="B20" s="168" t="s">
        <v>185</v>
      </c>
      <c r="C20" s="168" t="s">
        <v>811</v>
      </c>
      <c r="D20" s="168" t="s">
        <v>1086</v>
      </c>
      <c r="E20" s="168" t="s">
        <v>1059</v>
      </c>
      <c r="F20" s="168" t="s">
        <v>212</v>
      </c>
      <c r="G20" s="168" t="s">
        <v>237</v>
      </c>
      <c r="H20" s="168" t="s">
        <v>1118</v>
      </c>
      <c r="I20" s="168" t="s">
        <v>1061</v>
      </c>
      <c r="J20" s="168" t="s">
        <v>801</v>
      </c>
      <c r="K20" s="177" t="s">
        <v>1057</v>
      </c>
    </row>
    <row r="21" spans="1:11" ht="11.25">
      <c r="A21" s="178">
        <v>0</v>
      </c>
      <c r="B21" s="169" t="s">
        <v>812</v>
      </c>
      <c r="C21" s="169" t="s">
        <v>811</v>
      </c>
      <c r="D21" s="169" t="s">
        <v>1086</v>
      </c>
      <c r="E21" s="169" t="s">
        <v>1059</v>
      </c>
      <c r="F21" s="169" t="s">
        <v>206</v>
      </c>
      <c r="G21" s="169" t="s">
        <v>254</v>
      </c>
      <c r="H21" s="169" t="s">
        <v>1069</v>
      </c>
      <c r="I21" s="169" t="s">
        <v>1169</v>
      </c>
      <c r="J21" s="169" t="s">
        <v>1217</v>
      </c>
      <c r="K21" s="178" t="s">
        <v>1057</v>
      </c>
    </row>
    <row r="22" spans="1:11" ht="11.25">
      <c r="A22" s="177">
        <v>0</v>
      </c>
      <c r="B22" s="168" t="s">
        <v>813</v>
      </c>
      <c r="C22" s="168" t="s">
        <v>1123</v>
      </c>
      <c r="D22" s="168" t="s">
        <v>1067</v>
      </c>
      <c r="E22" s="168" t="s">
        <v>1059</v>
      </c>
      <c r="F22" s="168" t="s">
        <v>1109</v>
      </c>
      <c r="G22" s="168" t="s">
        <v>1450</v>
      </c>
      <c r="H22" s="168" t="s">
        <v>1114</v>
      </c>
      <c r="I22" s="168" t="s">
        <v>1087</v>
      </c>
      <c r="J22" s="168" t="s">
        <v>801</v>
      </c>
      <c r="K22" s="177" t="s">
        <v>1057</v>
      </c>
    </row>
    <row r="23" spans="1:11" ht="11.25">
      <c r="A23" s="178">
        <v>0</v>
      </c>
      <c r="B23" s="169" t="s">
        <v>814</v>
      </c>
      <c r="C23" s="169" t="s">
        <v>1162</v>
      </c>
      <c r="D23" s="169" t="s">
        <v>1067</v>
      </c>
      <c r="E23" s="169" t="s">
        <v>1059</v>
      </c>
      <c r="F23" s="169" t="s">
        <v>206</v>
      </c>
      <c r="G23" s="169" t="s">
        <v>1326</v>
      </c>
      <c r="H23" s="169" t="s">
        <v>1069</v>
      </c>
      <c r="I23" s="169" t="s">
        <v>1061</v>
      </c>
      <c r="J23" s="169" t="s">
        <v>805</v>
      </c>
      <c r="K23" s="178" t="s">
        <v>1057</v>
      </c>
    </row>
    <row r="24" spans="1:11" ht="11.25">
      <c r="A24" s="177">
        <v>0</v>
      </c>
      <c r="B24" s="168" t="s">
        <v>540</v>
      </c>
      <c r="C24" s="168" t="s">
        <v>826</v>
      </c>
      <c r="D24" s="168" t="s">
        <v>1091</v>
      </c>
      <c r="E24" s="168" t="s">
        <v>1059</v>
      </c>
      <c r="F24" s="168" t="s">
        <v>799</v>
      </c>
      <c r="G24" s="168" t="s">
        <v>1152</v>
      </c>
      <c r="H24" s="168" t="s">
        <v>216</v>
      </c>
      <c r="I24" s="168" t="s">
        <v>1090</v>
      </c>
      <c r="J24" s="168" t="s">
        <v>805</v>
      </c>
      <c r="K24" s="177" t="s">
        <v>1057</v>
      </c>
    </row>
    <row r="26" spans="1:11" s="171" customFormat="1" ht="12.75">
      <c r="A26" s="700" t="s">
        <v>205</v>
      </c>
      <c r="B26" s="700"/>
      <c r="C26" s="179"/>
      <c r="D26" s="173"/>
      <c r="E26" s="173"/>
      <c r="F26" s="173"/>
      <c r="G26" s="173"/>
      <c r="H26" s="173"/>
      <c r="I26" s="173"/>
      <c r="J26" s="173"/>
      <c r="K26" s="175"/>
    </row>
    <row r="27" spans="1:11" ht="11.25">
      <c r="A27" s="176" t="s">
        <v>233</v>
      </c>
      <c r="B27" s="167" t="s">
        <v>795</v>
      </c>
      <c r="C27" s="167" t="s">
        <v>1050</v>
      </c>
      <c r="D27" s="167" t="s">
        <v>1051</v>
      </c>
      <c r="E27" s="167" t="s">
        <v>1052</v>
      </c>
      <c r="F27" s="167" t="s">
        <v>728</v>
      </c>
      <c r="G27" s="167" t="s">
        <v>1053</v>
      </c>
      <c r="H27" s="167" t="s">
        <v>796</v>
      </c>
      <c r="I27" s="167" t="s">
        <v>797</v>
      </c>
      <c r="J27" s="167" t="s">
        <v>1054</v>
      </c>
      <c r="K27" s="176" t="s">
        <v>1055</v>
      </c>
    </row>
    <row r="28" spans="1:11" ht="11.25">
      <c r="A28" s="177">
        <v>1</v>
      </c>
      <c r="B28" s="168"/>
      <c r="C28" s="168"/>
      <c r="D28" s="168"/>
      <c r="E28" s="168"/>
      <c r="F28" s="168"/>
      <c r="G28" s="168"/>
      <c r="H28" s="168"/>
      <c r="I28" s="168"/>
      <c r="J28" s="168"/>
      <c r="K28" s="177"/>
    </row>
    <row r="29" spans="1:11" ht="11.25">
      <c r="A29" s="178">
        <v>1</v>
      </c>
      <c r="B29" s="169"/>
      <c r="C29" s="169"/>
      <c r="D29" s="169"/>
      <c r="E29" s="169"/>
      <c r="F29" s="169"/>
      <c r="G29" s="169"/>
      <c r="H29" s="169"/>
      <c r="I29" s="169"/>
      <c r="J29" s="169"/>
      <c r="K29" s="178"/>
    </row>
    <row r="30" spans="1:11" ht="11.25">
      <c r="A30" s="177">
        <v>1</v>
      </c>
      <c r="B30" s="168"/>
      <c r="C30" s="168"/>
      <c r="D30" s="168"/>
      <c r="E30" s="168"/>
      <c r="F30" s="168"/>
      <c r="G30" s="168"/>
      <c r="H30" s="168"/>
      <c r="I30" s="168"/>
      <c r="J30" s="168"/>
      <c r="K30" s="177"/>
    </row>
    <row r="31" spans="1:11" ht="11.25">
      <c r="A31" s="178">
        <v>1</v>
      </c>
      <c r="B31" s="169"/>
      <c r="C31" s="169"/>
      <c r="D31" s="169"/>
      <c r="E31" s="169"/>
      <c r="F31" s="169"/>
      <c r="G31" s="169"/>
      <c r="H31" s="169"/>
      <c r="I31" s="169"/>
      <c r="J31" s="169"/>
      <c r="K31" s="178"/>
    </row>
    <row r="32" spans="1:11" ht="11.25">
      <c r="A32" s="177">
        <v>1</v>
      </c>
      <c r="B32" s="168"/>
      <c r="C32" s="168"/>
      <c r="D32" s="168"/>
      <c r="E32" s="168"/>
      <c r="F32" s="168"/>
      <c r="G32" s="168"/>
      <c r="H32" s="168"/>
      <c r="I32" s="168"/>
      <c r="J32" s="168"/>
      <c r="K32" s="177"/>
    </row>
    <row r="33" spans="1:11" ht="11.25">
      <c r="A33" s="178">
        <v>1</v>
      </c>
      <c r="B33" s="169"/>
      <c r="C33" s="169"/>
      <c r="D33" s="169"/>
      <c r="E33" s="169"/>
      <c r="F33" s="169"/>
      <c r="G33" s="169"/>
      <c r="H33" s="169"/>
      <c r="I33" s="169"/>
      <c r="J33" s="169"/>
      <c r="K33" s="178"/>
    </row>
    <row r="34" spans="1:11" ht="11.25">
      <c r="A34" s="177">
        <v>1</v>
      </c>
      <c r="B34" s="168"/>
      <c r="C34" s="168"/>
      <c r="D34" s="168"/>
      <c r="E34" s="168"/>
      <c r="F34" s="168"/>
      <c r="G34" s="168"/>
      <c r="H34" s="168"/>
      <c r="I34" s="168"/>
      <c r="J34" s="168"/>
      <c r="K34" s="177"/>
    </row>
    <row r="35" spans="1:11" ht="11.25">
      <c r="A35" s="178">
        <v>1</v>
      </c>
      <c r="B35" s="169"/>
      <c r="C35" s="169"/>
      <c r="D35" s="169"/>
      <c r="E35" s="169"/>
      <c r="F35" s="169"/>
      <c r="G35" s="169"/>
      <c r="H35" s="169"/>
      <c r="I35" s="169"/>
      <c r="J35" s="169"/>
      <c r="K35" s="178"/>
    </row>
    <row r="36" spans="1:11" ht="11.25">
      <c r="A36" s="177">
        <v>1</v>
      </c>
      <c r="B36" s="168"/>
      <c r="C36" s="168"/>
      <c r="D36" s="168"/>
      <c r="E36" s="168"/>
      <c r="F36" s="168"/>
      <c r="G36" s="168"/>
      <c r="H36" s="168"/>
      <c r="I36" s="168"/>
      <c r="J36" s="168"/>
      <c r="K36" s="177"/>
    </row>
    <row r="37" spans="1:11" ht="11.25">
      <c r="A37" s="178">
        <v>1</v>
      </c>
      <c r="B37" s="169"/>
      <c r="C37" s="169"/>
      <c r="D37" s="169"/>
      <c r="E37" s="169"/>
      <c r="F37" s="169"/>
      <c r="G37" s="169"/>
      <c r="H37" s="169"/>
      <c r="I37" s="169"/>
      <c r="J37" s="169"/>
      <c r="K37" s="178"/>
    </row>
    <row r="38" spans="1:11" ht="11.25">
      <c r="A38" s="177">
        <v>1</v>
      </c>
      <c r="B38" s="168"/>
      <c r="C38" s="168"/>
      <c r="D38" s="168"/>
      <c r="E38" s="168"/>
      <c r="F38" s="168"/>
      <c r="G38" s="168"/>
      <c r="H38" s="168"/>
      <c r="I38" s="168"/>
      <c r="J38" s="168"/>
      <c r="K38" s="177"/>
    </row>
    <row r="40" spans="1:11" s="171" customFormat="1" ht="12.75">
      <c r="A40" s="700" t="s">
        <v>218</v>
      </c>
      <c r="B40" s="700"/>
      <c r="C40" s="179"/>
      <c r="D40" s="173"/>
      <c r="E40" s="173"/>
      <c r="F40" s="173"/>
      <c r="G40" s="173"/>
      <c r="H40" s="173"/>
      <c r="I40" s="173"/>
      <c r="J40" s="173"/>
      <c r="K40" s="175"/>
    </row>
    <row r="41" spans="1:11" ht="11.25">
      <c r="A41" s="176" t="s">
        <v>233</v>
      </c>
      <c r="B41" s="167" t="s">
        <v>795</v>
      </c>
      <c r="C41" s="167" t="s">
        <v>1050</v>
      </c>
      <c r="D41" s="167" t="s">
        <v>1051</v>
      </c>
      <c r="E41" s="167" t="s">
        <v>1052</v>
      </c>
      <c r="F41" s="167" t="s">
        <v>728</v>
      </c>
      <c r="G41" s="167" t="s">
        <v>1053</v>
      </c>
      <c r="H41" s="167" t="s">
        <v>796</v>
      </c>
      <c r="I41" s="167" t="s">
        <v>797</v>
      </c>
      <c r="J41" s="167" t="s">
        <v>1054</v>
      </c>
      <c r="K41" s="176" t="s">
        <v>1055</v>
      </c>
    </row>
    <row r="42" spans="1:11" ht="11.25">
      <c r="A42" s="177">
        <v>2</v>
      </c>
      <c r="B42" s="168"/>
      <c r="C42" s="168"/>
      <c r="D42" s="168"/>
      <c r="E42" s="168"/>
      <c r="F42" s="168"/>
      <c r="G42" s="168"/>
      <c r="H42" s="168"/>
      <c r="I42" s="168"/>
      <c r="J42" s="168"/>
      <c r="K42" s="177"/>
    </row>
    <row r="43" spans="1:11" ht="11.25">
      <c r="A43" s="178">
        <v>2</v>
      </c>
      <c r="B43" s="169"/>
      <c r="C43" s="169"/>
      <c r="D43" s="169"/>
      <c r="E43" s="169"/>
      <c r="F43" s="169"/>
      <c r="G43" s="169"/>
      <c r="H43" s="169"/>
      <c r="I43" s="169"/>
      <c r="J43" s="169"/>
      <c r="K43" s="178"/>
    </row>
    <row r="44" spans="1:11" ht="11.25">
      <c r="A44" s="177">
        <v>2</v>
      </c>
      <c r="B44" s="168"/>
      <c r="C44" s="168"/>
      <c r="D44" s="168"/>
      <c r="E44" s="168"/>
      <c r="F44" s="168"/>
      <c r="G44" s="168"/>
      <c r="H44" s="168"/>
      <c r="I44" s="168"/>
      <c r="J44" s="168"/>
      <c r="K44" s="177"/>
    </row>
    <row r="45" spans="1:11" ht="11.25">
      <c r="A45" s="178">
        <v>2</v>
      </c>
      <c r="B45" s="169"/>
      <c r="C45" s="169"/>
      <c r="D45" s="169"/>
      <c r="E45" s="169"/>
      <c r="F45" s="169"/>
      <c r="G45" s="169"/>
      <c r="H45" s="169"/>
      <c r="I45" s="169"/>
      <c r="J45" s="169"/>
      <c r="K45" s="178"/>
    </row>
    <row r="46" spans="1:11" ht="11.25">
      <c r="A46" s="177">
        <v>2</v>
      </c>
      <c r="B46" s="168"/>
      <c r="C46" s="168"/>
      <c r="D46" s="168"/>
      <c r="E46" s="168"/>
      <c r="F46" s="168"/>
      <c r="G46" s="168"/>
      <c r="H46" s="168"/>
      <c r="I46" s="168"/>
      <c r="J46" s="168"/>
      <c r="K46" s="177"/>
    </row>
    <row r="47" spans="1:11" ht="11.25">
      <c r="A47" s="178">
        <v>2</v>
      </c>
      <c r="B47" s="169"/>
      <c r="C47" s="169"/>
      <c r="D47" s="169"/>
      <c r="E47" s="169"/>
      <c r="F47" s="169"/>
      <c r="G47" s="169"/>
      <c r="H47" s="169"/>
      <c r="I47" s="169"/>
      <c r="J47" s="169"/>
      <c r="K47" s="178"/>
    </row>
  </sheetData>
  <mergeCells count="5">
    <mergeCell ref="A26:B26"/>
    <mergeCell ref="A40:B40"/>
    <mergeCell ref="A1:K1"/>
    <mergeCell ref="C2:F2"/>
    <mergeCell ref="A4:B4"/>
  </mergeCells>
  <printOptions/>
  <pageMargins left="0.5" right="0.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51"/>
  </sheetPr>
  <dimension ref="A1:K113"/>
  <sheetViews>
    <sheetView showGridLines="0" zoomScale="120" zoomScaleNormal="120" workbookViewId="0" topLeftCell="A1">
      <selection activeCell="C2" sqref="C2:F2"/>
    </sheetView>
  </sheetViews>
  <sheetFormatPr defaultColWidth="9.140625" defaultRowHeight="12.75"/>
  <cols>
    <col min="1" max="1" width="3.28125" style="174" bestFit="1" customWidth="1"/>
    <col min="2" max="2" width="15.421875" style="166" bestFit="1" customWidth="1"/>
    <col min="3" max="3" width="5.140625" style="166" bestFit="1" customWidth="1"/>
    <col min="4" max="4" width="7.57421875" style="166" bestFit="1" customWidth="1"/>
    <col min="5" max="5" width="9.00390625" style="166" bestFit="1" customWidth="1"/>
    <col min="6" max="6" width="6.421875" style="166" bestFit="1" customWidth="1"/>
    <col min="7" max="7" width="43.421875" style="166" bestFit="1" customWidth="1"/>
    <col min="8" max="8" width="13.7109375" style="166" bestFit="1" customWidth="1"/>
    <col min="9" max="9" width="11.28125" style="166" customWidth="1"/>
    <col min="10" max="10" width="7.00390625" style="166" bestFit="1" customWidth="1"/>
    <col min="11" max="11" width="4.7109375" style="174" bestFit="1" customWidth="1"/>
    <col min="12" max="16384" width="9.140625" style="166" customWidth="1"/>
  </cols>
  <sheetData>
    <row r="1" spans="1:11" ht="19.5" thickBot="1">
      <c r="A1" s="701" t="str">
        <f>'Character Sheet p1'!F2&amp;": Divine Spells"</f>
        <v>: Divine Spells</v>
      </c>
      <c r="B1" s="701"/>
      <c r="C1" s="701"/>
      <c r="D1" s="701"/>
      <c r="E1" s="701"/>
      <c r="F1" s="701"/>
      <c r="G1" s="701"/>
      <c r="H1" s="701"/>
      <c r="I1" s="701"/>
      <c r="J1" s="701"/>
      <c r="K1" s="701"/>
    </row>
    <row r="2" spans="1:11" s="171" customFormat="1" ht="13.5" thickBot="1">
      <c r="A2" s="175"/>
      <c r="B2" s="170" t="s">
        <v>235</v>
      </c>
      <c r="C2" s="702" t="s">
        <v>236</v>
      </c>
      <c r="D2" s="703"/>
      <c r="E2" s="703"/>
      <c r="F2" s="704"/>
      <c r="G2" s="173"/>
      <c r="H2" s="173"/>
      <c r="I2" s="173"/>
      <c r="J2" s="173"/>
      <c r="K2" s="175"/>
    </row>
    <row r="3" spans="1:11" s="171" customFormat="1" ht="12.75">
      <c r="A3" s="175"/>
      <c r="B3" s="170"/>
      <c r="C3" s="179"/>
      <c r="D3" s="173"/>
      <c r="E3" s="173"/>
      <c r="F3" s="173"/>
      <c r="G3" s="173"/>
      <c r="H3" s="173"/>
      <c r="I3" s="173"/>
      <c r="J3" s="173"/>
      <c r="K3" s="175"/>
    </row>
    <row r="4" spans="1:11" s="171" customFormat="1" ht="12.75">
      <c r="A4" s="700" t="s">
        <v>231</v>
      </c>
      <c r="B4" s="700"/>
      <c r="C4" s="179" t="s">
        <v>232</v>
      </c>
      <c r="D4" s="173"/>
      <c r="E4" s="173"/>
      <c r="F4" s="173"/>
      <c r="G4" s="173"/>
      <c r="H4" s="173"/>
      <c r="I4" s="173"/>
      <c r="J4" s="173"/>
      <c r="K4" s="175"/>
    </row>
    <row r="5" spans="1:11" ht="11.25">
      <c r="A5" s="182" t="s">
        <v>233</v>
      </c>
      <c r="B5" s="183" t="s">
        <v>795</v>
      </c>
      <c r="C5" s="183" t="s">
        <v>1050</v>
      </c>
      <c r="D5" s="183" t="s">
        <v>1051</v>
      </c>
      <c r="E5" s="183" t="s">
        <v>1052</v>
      </c>
      <c r="F5" s="183" t="s">
        <v>728</v>
      </c>
      <c r="G5" s="183" t="s">
        <v>1053</v>
      </c>
      <c r="H5" s="183" t="s">
        <v>796</v>
      </c>
      <c r="I5" s="183" t="s">
        <v>797</v>
      </c>
      <c r="J5" s="183" t="s">
        <v>1054</v>
      </c>
      <c r="K5" s="182" t="s">
        <v>1055</v>
      </c>
    </row>
    <row r="6" spans="1:11" ht="11.25">
      <c r="A6" s="177">
        <v>1</v>
      </c>
      <c r="B6" s="168"/>
      <c r="C6" s="168"/>
      <c r="D6" s="168"/>
      <c r="E6" s="168"/>
      <c r="F6" s="168"/>
      <c r="G6" s="168"/>
      <c r="H6" s="168"/>
      <c r="I6" s="168"/>
      <c r="J6" s="168"/>
      <c r="K6" s="177"/>
    </row>
    <row r="7" spans="1:11" ht="11.25">
      <c r="A7" s="178">
        <v>2</v>
      </c>
      <c r="B7" s="169"/>
      <c r="C7" s="169"/>
      <c r="D7" s="169"/>
      <c r="E7" s="169"/>
      <c r="F7" s="169"/>
      <c r="G7" s="169"/>
      <c r="H7" s="169"/>
      <c r="I7" s="169"/>
      <c r="J7" s="169"/>
      <c r="K7" s="178"/>
    </row>
    <row r="8" spans="1:11" ht="11.25">
      <c r="A8" s="177">
        <v>3</v>
      </c>
      <c r="B8" s="168"/>
      <c r="C8" s="168"/>
      <c r="D8" s="168"/>
      <c r="E8" s="168"/>
      <c r="F8" s="168"/>
      <c r="G8" s="168"/>
      <c r="H8" s="168"/>
      <c r="I8" s="168"/>
      <c r="J8" s="168"/>
      <c r="K8" s="177"/>
    </row>
    <row r="9" spans="1:11" ht="11.25">
      <c r="A9" s="178">
        <v>4</v>
      </c>
      <c r="B9" s="169"/>
      <c r="C9" s="169"/>
      <c r="D9" s="169"/>
      <c r="E9" s="169"/>
      <c r="F9" s="169"/>
      <c r="G9" s="169"/>
      <c r="H9" s="169"/>
      <c r="I9" s="169"/>
      <c r="J9" s="169"/>
      <c r="K9" s="178"/>
    </row>
    <row r="10" spans="1:11" ht="11.25">
      <c r="A10" s="177">
        <v>5</v>
      </c>
      <c r="B10" s="168"/>
      <c r="C10" s="168"/>
      <c r="D10" s="168"/>
      <c r="E10" s="168"/>
      <c r="F10" s="168"/>
      <c r="G10" s="168"/>
      <c r="H10" s="168"/>
      <c r="I10" s="168"/>
      <c r="J10" s="168"/>
      <c r="K10" s="177"/>
    </row>
    <row r="11" spans="1:11" ht="11.25">
      <c r="A11" s="178">
        <v>6</v>
      </c>
      <c r="B11" s="169"/>
      <c r="C11" s="169"/>
      <c r="D11" s="169"/>
      <c r="E11" s="169"/>
      <c r="F11" s="169"/>
      <c r="G11" s="169"/>
      <c r="H11" s="169"/>
      <c r="I11" s="169"/>
      <c r="J11" s="169"/>
      <c r="K11" s="178"/>
    </row>
    <row r="12" spans="1:11" ht="11.25">
      <c r="A12" s="177">
        <v>7</v>
      </c>
      <c r="B12" s="168"/>
      <c r="C12" s="168"/>
      <c r="D12" s="168"/>
      <c r="E12" s="168"/>
      <c r="F12" s="168"/>
      <c r="G12" s="168"/>
      <c r="H12" s="168"/>
      <c r="I12" s="168"/>
      <c r="J12" s="168"/>
      <c r="K12" s="177"/>
    </row>
    <row r="13" spans="1:11" ht="11.25">
      <c r="A13" s="178">
        <v>8</v>
      </c>
      <c r="B13" s="169"/>
      <c r="C13" s="169"/>
      <c r="D13" s="169"/>
      <c r="E13" s="169"/>
      <c r="F13" s="169"/>
      <c r="G13" s="169"/>
      <c r="H13" s="169"/>
      <c r="I13" s="169"/>
      <c r="J13" s="169"/>
      <c r="K13" s="178"/>
    </row>
    <row r="14" spans="1:11" ht="11.25">
      <c r="A14" s="177">
        <v>9</v>
      </c>
      <c r="B14" s="168"/>
      <c r="C14" s="168"/>
      <c r="D14" s="168"/>
      <c r="E14" s="168"/>
      <c r="F14" s="168"/>
      <c r="G14" s="168"/>
      <c r="H14" s="168"/>
      <c r="I14" s="168"/>
      <c r="J14" s="168"/>
      <c r="K14" s="177"/>
    </row>
    <row r="15" spans="1:11" s="171" customFormat="1" ht="12.75">
      <c r="A15" s="175"/>
      <c r="B15" s="172"/>
      <c r="C15" s="172"/>
      <c r="D15" s="172"/>
      <c r="E15" s="172"/>
      <c r="F15" s="172"/>
      <c r="G15" s="172"/>
      <c r="H15" s="172"/>
      <c r="I15" s="172"/>
      <c r="J15" s="172"/>
      <c r="K15" s="175"/>
    </row>
    <row r="16" spans="1:11" s="171" customFormat="1" ht="12.75">
      <c r="A16" s="700" t="s">
        <v>234</v>
      </c>
      <c r="B16" s="700"/>
      <c r="C16" s="179" t="s">
        <v>232</v>
      </c>
      <c r="D16" s="173"/>
      <c r="E16" s="173"/>
      <c r="F16" s="173"/>
      <c r="G16" s="173"/>
      <c r="H16" s="173"/>
      <c r="I16" s="173"/>
      <c r="J16" s="173"/>
      <c r="K16" s="175"/>
    </row>
    <row r="17" spans="1:11" ht="11.25">
      <c r="A17" s="180" t="s">
        <v>233</v>
      </c>
      <c r="B17" s="181" t="s">
        <v>795</v>
      </c>
      <c r="C17" s="181" t="s">
        <v>1050</v>
      </c>
      <c r="D17" s="181" t="s">
        <v>1051</v>
      </c>
      <c r="E17" s="181" t="s">
        <v>1052</v>
      </c>
      <c r="F17" s="181" t="s">
        <v>728</v>
      </c>
      <c r="G17" s="181" t="s">
        <v>1053</v>
      </c>
      <c r="H17" s="181" t="s">
        <v>796</v>
      </c>
      <c r="I17" s="181" t="s">
        <v>797</v>
      </c>
      <c r="J17" s="181" t="s">
        <v>1054</v>
      </c>
      <c r="K17" s="180" t="s">
        <v>1055</v>
      </c>
    </row>
    <row r="18" spans="1:11" ht="11.25">
      <c r="A18" s="177">
        <v>1</v>
      </c>
      <c r="B18" s="168"/>
      <c r="C18" s="168"/>
      <c r="D18" s="168"/>
      <c r="E18" s="168"/>
      <c r="F18" s="168"/>
      <c r="G18" s="168"/>
      <c r="H18" s="168"/>
      <c r="I18" s="168"/>
      <c r="J18" s="168"/>
      <c r="K18" s="177"/>
    </row>
    <row r="19" spans="1:11" ht="11.25">
      <c r="A19" s="178">
        <v>2</v>
      </c>
      <c r="B19" s="169"/>
      <c r="C19" s="169"/>
      <c r="D19" s="169"/>
      <c r="E19" s="169"/>
      <c r="F19" s="169"/>
      <c r="G19" s="169"/>
      <c r="H19" s="169"/>
      <c r="I19" s="169"/>
      <c r="J19" s="169"/>
      <c r="K19" s="178"/>
    </row>
    <row r="20" spans="1:11" ht="11.25">
      <c r="A20" s="177">
        <v>3</v>
      </c>
      <c r="B20" s="168"/>
      <c r="C20" s="168"/>
      <c r="D20" s="168"/>
      <c r="E20" s="168"/>
      <c r="F20" s="168"/>
      <c r="G20" s="168"/>
      <c r="H20" s="168"/>
      <c r="I20" s="168"/>
      <c r="J20" s="168"/>
      <c r="K20" s="177"/>
    </row>
    <row r="21" spans="1:11" ht="11.25">
      <c r="A21" s="178">
        <v>4</v>
      </c>
      <c r="B21" s="169"/>
      <c r="C21" s="169"/>
      <c r="D21" s="169"/>
      <c r="E21" s="169"/>
      <c r="F21" s="169"/>
      <c r="G21" s="169"/>
      <c r="H21" s="169"/>
      <c r="I21" s="169"/>
      <c r="J21" s="169"/>
      <c r="K21" s="178"/>
    </row>
    <row r="22" spans="1:11" ht="11.25">
      <c r="A22" s="177">
        <v>5</v>
      </c>
      <c r="B22" s="168"/>
      <c r="C22" s="168"/>
      <c r="D22" s="168"/>
      <c r="E22" s="168"/>
      <c r="F22" s="168"/>
      <c r="G22" s="168"/>
      <c r="H22" s="168"/>
      <c r="I22" s="168"/>
      <c r="J22" s="168"/>
      <c r="K22" s="177"/>
    </row>
    <row r="23" spans="1:11" ht="11.25">
      <c r="A23" s="178">
        <v>6</v>
      </c>
      <c r="B23" s="169"/>
      <c r="C23" s="169"/>
      <c r="D23" s="169"/>
      <c r="E23" s="169"/>
      <c r="F23" s="169"/>
      <c r="G23" s="169"/>
      <c r="H23" s="169"/>
      <c r="I23" s="169"/>
      <c r="J23" s="169"/>
      <c r="K23" s="178"/>
    </row>
    <row r="24" spans="1:11" ht="11.25">
      <c r="A24" s="177">
        <v>7</v>
      </c>
      <c r="B24" s="168"/>
      <c r="C24" s="168"/>
      <c r="D24" s="168"/>
      <c r="E24" s="168"/>
      <c r="F24" s="168"/>
      <c r="G24" s="168"/>
      <c r="H24" s="168"/>
      <c r="I24" s="168"/>
      <c r="J24" s="168"/>
      <c r="K24" s="177"/>
    </row>
    <row r="25" spans="1:11" ht="11.25">
      <c r="A25" s="178">
        <v>8</v>
      </c>
      <c r="B25" s="169"/>
      <c r="C25" s="169"/>
      <c r="D25" s="169"/>
      <c r="E25" s="169"/>
      <c r="F25" s="169"/>
      <c r="G25" s="169"/>
      <c r="H25" s="169"/>
      <c r="I25" s="169"/>
      <c r="J25" s="169"/>
      <c r="K25" s="178"/>
    </row>
    <row r="26" spans="1:11" ht="11.25">
      <c r="A26" s="177">
        <v>9</v>
      </c>
      <c r="B26" s="168"/>
      <c r="C26" s="168"/>
      <c r="D26" s="168"/>
      <c r="E26" s="168"/>
      <c r="F26" s="168"/>
      <c r="G26" s="168"/>
      <c r="H26" s="168"/>
      <c r="I26" s="168"/>
      <c r="J26" s="168"/>
      <c r="K26" s="177"/>
    </row>
    <row r="27" spans="1:11" s="171" customFormat="1" ht="12.75">
      <c r="A27" s="175"/>
      <c r="B27" s="172"/>
      <c r="C27" s="172"/>
      <c r="D27" s="172"/>
      <c r="E27" s="172"/>
      <c r="F27" s="172"/>
      <c r="G27" s="172"/>
      <c r="H27" s="172"/>
      <c r="I27" s="172"/>
      <c r="J27" s="172"/>
      <c r="K27" s="175"/>
    </row>
    <row r="28" spans="1:11" s="171" customFormat="1" ht="12.75">
      <c r="A28" s="700" t="s">
        <v>204</v>
      </c>
      <c r="B28" s="700"/>
      <c r="C28" s="179"/>
      <c r="D28" s="173"/>
      <c r="E28" s="173"/>
      <c r="F28" s="173"/>
      <c r="G28" s="173"/>
      <c r="H28" s="173"/>
      <c r="I28" s="173"/>
      <c r="J28" s="173"/>
      <c r="K28" s="175"/>
    </row>
    <row r="29" spans="1:11" ht="11.25">
      <c r="A29" s="176" t="s">
        <v>233</v>
      </c>
      <c r="B29" s="167" t="s">
        <v>795</v>
      </c>
      <c r="C29" s="167" t="s">
        <v>1050</v>
      </c>
      <c r="D29" s="167" t="s">
        <v>1051</v>
      </c>
      <c r="E29" s="167" t="s">
        <v>1052</v>
      </c>
      <c r="F29" s="167" t="s">
        <v>728</v>
      </c>
      <c r="G29" s="167" t="s">
        <v>1053</v>
      </c>
      <c r="H29" s="167" t="s">
        <v>796</v>
      </c>
      <c r="I29" s="167" t="s">
        <v>797</v>
      </c>
      <c r="J29" s="167" t="s">
        <v>1054</v>
      </c>
      <c r="K29" s="176" t="s">
        <v>1055</v>
      </c>
    </row>
    <row r="30" spans="1:11" ht="11.25">
      <c r="A30" s="177">
        <v>0</v>
      </c>
      <c r="B30" s="168" t="s">
        <v>820</v>
      </c>
      <c r="C30" s="168" t="s">
        <v>815</v>
      </c>
      <c r="D30" s="168" t="s">
        <v>1067</v>
      </c>
      <c r="E30" s="168" t="s">
        <v>1059</v>
      </c>
      <c r="F30" s="168" t="s">
        <v>206</v>
      </c>
      <c r="G30" s="168" t="s">
        <v>207</v>
      </c>
      <c r="H30" s="168" t="s">
        <v>1069</v>
      </c>
      <c r="I30" s="168" t="s">
        <v>1061</v>
      </c>
      <c r="J30" s="168" t="s">
        <v>801</v>
      </c>
      <c r="K30" s="177" t="s">
        <v>1057</v>
      </c>
    </row>
    <row r="31" spans="1:11" ht="11.25">
      <c r="A31" s="178">
        <v>0</v>
      </c>
      <c r="B31" s="169" t="s">
        <v>821</v>
      </c>
      <c r="C31" s="169" t="s">
        <v>815</v>
      </c>
      <c r="D31" s="169" t="s">
        <v>1067</v>
      </c>
      <c r="E31" s="169" t="s">
        <v>1059</v>
      </c>
      <c r="F31" s="169" t="s">
        <v>799</v>
      </c>
      <c r="G31" s="169" t="s">
        <v>1152</v>
      </c>
      <c r="H31" s="169" t="s">
        <v>1069</v>
      </c>
      <c r="I31" s="169" t="s">
        <v>1087</v>
      </c>
      <c r="J31" s="169" t="s">
        <v>1087</v>
      </c>
      <c r="K31" s="178" t="s">
        <v>1057</v>
      </c>
    </row>
    <row r="32" spans="1:11" ht="11.25">
      <c r="A32" s="177">
        <v>0</v>
      </c>
      <c r="B32" s="168" t="s">
        <v>806</v>
      </c>
      <c r="C32" s="168" t="s">
        <v>822</v>
      </c>
      <c r="D32" s="168" t="s">
        <v>1067</v>
      </c>
      <c r="E32" s="168" t="s">
        <v>1059</v>
      </c>
      <c r="F32" s="168" t="s">
        <v>1246</v>
      </c>
      <c r="G32" s="168" t="s">
        <v>1297</v>
      </c>
      <c r="H32" s="168" t="s">
        <v>208</v>
      </c>
      <c r="I32" s="168" t="s">
        <v>1061</v>
      </c>
      <c r="J32" s="168" t="s">
        <v>801</v>
      </c>
      <c r="K32" s="177" t="s">
        <v>1057</v>
      </c>
    </row>
    <row r="33" spans="1:11" ht="11.25">
      <c r="A33" s="178">
        <v>0</v>
      </c>
      <c r="B33" s="169" t="s">
        <v>823</v>
      </c>
      <c r="C33" s="169" t="s">
        <v>822</v>
      </c>
      <c r="D33" s="169" t="s">
        <v>1067</v>
      </c>
      <c r="E33" s="169" t="s">
        <v>1059</v>
      </c>
      <c r="F33" s="169" t="s">
        <v>206</v>
      </c>
      <c r="G33" s="169" t="s">
        <v>1309</v>
      </c>
      <c r="H33" s="169" t="s">
        <v>1069</v>
      </c>
      <c r="I33" s="169" t="s">
        <v>1061</v>
      </c>
      <c r="J33" s="169" t="s">
        <v>801</v>
      </c>
      <c r="K33" s="178" t="s">
        <v>1057</v>
      </c>
    </row>
    <row r="34" spans="1:11" ht="11.25">
      <c r="A34" s="177">
        <v>0</v>
      </c>
      <c r="B34" s="168" t="s">
        <v>824</v>
      </c>
      <c r="C34" s="168" t="s">
        <v>822</v>
      </c>
      <c r="D34" s="168" t="s">
        <v>1067</v>
      </c>
      <c r="E34" s="168" t="s">
        <v>1059</v>
      </c>
      <c r="F34" s="168" t="s">
        <v>799</v>
      </c>
      <c r="G34" s="168" t="s">
        <v>1152</v>
      </c>
      <c r="H34" s="168" t="s">
        <v>209</v>
      </c>
      <c r="I34" s="168" t="s">
        <v>1153</v>
      </c>
      <c r="J34" s="168" t="s">
        <v>805</v>
      </c>
      <c r="K34" s="177" t="s">
        <v>1057</v>
      </c>
    </row>
    <row r="35" spans="1:11" ht="11.25">
      <c r="A35" s="178">
        <v>0</v>
      </c>
      <c r="B35" s="169" t="s">
        <v>825</v>
      </c>
      <c r="C35" s="169" t="s">
        <v>826</v>
      </c>
      <c r="D35" s="169" t="s">
        <v>1067</v>
      </c>
      <c r="E35" s="169" t="s">
        <v>1059</v>
      </c>
      <c r="F35" s="169" t="s">
        <v>799</v>
      </c>
      <c r="G35" s="169" t="s">
        <v>1152</v>
      </c>
      <c r="H35" s="169" t="s">
        <v>1069</v>
      </c>
      <c r="I35" s="169" t="s">
        <v>1141</v>
      </c>
      <c r="J35" s="169" t="s">
        <v>805</v>
      </c>
      <c r="K35" s="178" t="s">
        <v>1057</v>
      </c>
    </row>
    <row r="36" spans="1:11" ht="11.25">
      <c r="A36" s="177">
        <v>0</v>
      </c>
      <c r="B36" s="168" t="s">
        <v>645</v>
      </c>
      <c r="C36" s="168" t="s">
        <v>1162</v>
      </c>
      <c r="D36" s="168" t="s">
        <v>1289</v>
      </c>
      <c r="E36" s="168" t="s">
        <v>1059</v>
      </c>
      <c r="F36" s="168" t="s">
        <v>799</v>
      </c>
      <c r="G36" s="168" t="s">
        <v>1290</v>
      </c>
      <c r="H36" s="168" t="s">
        <v>210</v>
      </c>
      <c r="I36" s="168" t="s">
        <v>1061</v>
      </c>
      <c r="J36" s="168" t="s">
        <v>801</v>
      </c>
      <c r="K36" s="177" t="s">
        <v>1057</v>
      </c>
    </row>
    <row r="37" spans="1:11" ht="11.25">
      <c r="A37" s="178">
        <v>0</v>
      </c>
      <c r="B37" s="169" t="s">
        <v>810</v>
      </c>
      <c r="C37" s="169" t="s">
        <v>811</v>
      </c>
      <c r="D37" s="169" t="s">
        <v>1067</v>
      </c>
      <c r="E37" s="169" t="s">
        <v>1059</v>
      </c>
      <c r="F37" s="169" t="s">
        <v>1109</v>
      </c>
      <c r="G37" s="169" t="s">
        <v>184</v>
      </c>
      <c r="H37" s="169" t="s">
        <v>1069</v>
      </c>
      <c r="I37" s="169" t="s">
        <v>1081</v>
      </c>
      <c r="J37" s="169" t="s">
        <v>1082</v>
      </c>
      <c r="K37" s="178" t="s">
        <v>1057</v>
      </c>
    </row>
    <row r="38" spans="1:11" ht="11.25">
      <c r="A38" s="177">
        <v>0</v>
      </c>
      <c r="B38" s="168" t="s">
        <v>333</v>
      </c>
      <c r="C38" s="168" t="s">
        <v>811</v>
      </c>
      <c r="D38" s="168" t="s">
        <v>1067</v>
      </c>
      <c r="E38" s="168" t="s">
        <v>1059</v>
      </c>
      <c r="F38" s="168" t="s">
        <v>1109</v>
      </c>
      <c r="G38" s="168" t="s">
        <v>211</v>
      </c>
      <c r="H38" s="168" t="s">
        <v>1069</v>
      </c>
      <c r="I38" s="168" t="s">
        <v>1169</v>
      </c>
      <c r="J38" s="168" t="s">
        <v>1170</v>
      </c>
      <c r="K38" s="177" t="s">
        <v>1057</v>
      </c>
    </row>
    <row r="39" spans="1:11" ht="11.25">
      <c r="A39" s="178">
        <v>0</v>
      </c>
      <c r="B39" s="169" t="s">
        <v>816</v>
      </c>
      <c r="C39" s="169" t="s">
        <v>822</v>
      </c>
      <c r="D39" s="169" t="s">
        <v>1086</v>
      </c>
      <c r="E39" s="169" t="s">
        <v>1059</v>
      </c>
      <c r="F39" s="169" t="s">
        <v>817</v>
      </c>
      <c r="G39" s="169" t="s">
        <v>1084</v>
      </c>
      <c r="H39" s="169" t="s">
        <v>1118</v>
      </c>
      <c r="I39" s="169" t="s">
        <v>1061</v>
      </c>
      <c r="J39" s="169" t="s">
        <v>801</v>
      </c>
      <c r="K39" s="178" t="s">
        <v>1057</v>
      </c>
    </row>
    <row r="40" spans="1:11" ht="11.25">
      <c r="A40" s="177">
        <v>0</v>
      </c>
      <c r="B40" s="168" t="s">
        <v>818</v>
      </c>
      <c r="C40" s="168" t="s">
        <v>845</v>
      </c>
      <c r="D40" s="168" t="s">
        <v>1064</v>
      </c>
      <c r="E40" s="168" t="s">
        <v>1059</v>
      </c>
      <c r="F40" s="168" t="s">
        <v>799</v>
      </c>
      <c r="G40" s="168" t="s">
        <v>1152</v>
      </c>
      <c r="H40" s="168" t="s">
        <v>1135</v>
      </c>
      <c r="I40" s="168" t="s">
        <v>1153</v>
      </c>
      <c r="J40" s="168" t="s">
        <v>1073</v>
      </c>
      <c r="K40" s="177" t="s">
        <v>1057</v>
      </c>
    </row>
    <row r="41" spans="1:11" ht="11.25">
      <c r="A41" s="178">
        <v>0</v>
      </c>
      <c r="B41" s="169" t="s">
        <v>827</v>
      </c>
      <c r="C41" s="169" t="s">
        <v>811</v>
      </c>
      <c r="D41" s="169" t="s">
        <v>1071</v>
      </c>
      <c r="E41" s="169" t="s">
        <v>1059</v>
      </c>
      <c r="F41" s="169" t="s">
        <v>799</v>
      </c>
      <c r="G41" s="169" t="s">
        <v>1152</v>
      </c>
      <c r="H41" s="169" t="s">
        <v>1135</v>
      </c>
      <c r="I41" s="169" t="s">
        <v>1300</v>
      </c>
      <c r="J41" s="169" t="s">
        <v>1073</v>
      </c>
      <c r="K41" s="178" t="s">
        <v>1057</v>
      </c>
    </row>
    <row r="45" spans="1:2" ht="12.75">
      <c r="A45" s="700" t="s">
        <v>205</v>
      </c>
      <c r="B45" s="700"/>
    </row>
    <row r="46" spans="1:11" ht="11.25">
      <c r="A46" s="176" t="s">
        <v>233</v>
      </c>
      <c r="B46" s="167" t="s">
        <v>795</v>
      </c>
      <c r="C46" s="167" t="s">
        <v>1050</v>
      </c>
      <c r="D46" s="167" t="s">
        <v>1051</v>
      </c>
      <c r="E46" s="167" t="s">
        <v>1052</v>
      </c>
      <c r="F46" s="167" t="s">
        <v>728</v>
      </c>
      <c r="G46" s="167" t="s">
        <v>1053</v>
      </c>
      <c r="H46" s="167" t="s">
        <v>796</v>
      </c>
      <c r="I46" s="167" t="s">
        <v>797</v>
      </c>
      <c r="J46" s="167" t="s">
        <v>1054</v>
      </c>
      <c r="K46" s="176" t="s">
        <v>1055</v>
      </c>
    </row>
    <row r="47" spans="1:11" ht="11.25">
      <c r="A47" s="177">
        <v>1</v>
      </c>
      <c r="B47" s="168" t="s">
        <v>828</v>
      </c>
      <c r="C47" s="168" t="s">
        <v>804</v>
      </c>
      <c r="D47" s="168" t="s">
        <v>1071</v>
      </c>
      <c r="E47" s="168" t="s">
        <v>1059</v>
      </c>
      <c r="F47" s="168" t="s">
        <v>1145</v>
      </c>
      <c r="G47" s="168" t="s">
        <v>1146</v>
      </c>
      <c r="H47" s="168" t="s">
        <v>1135</v>
      </c>
      <c r="I47" s="168" t="s">
        <v>1141</v>
      </c>
      <c r="J47" s="168" t="s">
        <v>805</v>
      </c>
      <c r="K47" s="177" t="s">
        <v>1057</v>
      </c>
    </row>
    <row r="48" spans="1:11" ht="11.25">
      <c r="A48" s="178">
        <v>1</v>
      </c>
      <c r="B48" s="169" t="s">
        <v>829</v>
      </c>
      <c r="C48" s="169" t="s">
        <v>804</v>
      </c>
      <c r="D48" s="169" t="s">
        <v>1071</v>
      </c>
      <c r="E48" s="169" t="s">
        <v>1059</v>
      </c>
      <c r="F48" s="169" t="s">
        <v>1145</v>
      </c>
      <c r="G48" s="169" t="s">
        <v>230</v>
      </c>
      <c r="H48" s="169" t="s">
        <v>1135</v>
      </c>
      <c r="I48" s="169" t="s">
        <v>1061</v>
      </c>
      <c r="J48" s="169" t="s">
        <v>1073</v>
      </c>
      <c r="K48" s="178" t="s">
        <v>1057</v>
      </c>
    </row>
    <row r="49" spans="1:11" ht="11.25">
      <c r="A49" s="177">
        <v>1</v>
      </c>
      <c r="B49" s="168" t="s">
        <v>830</v>
      </c>
      <c r="C49" s="168" t="s">
        <v>811</v>
      </c>
      <c r="D49" s="168" t="s">
        <v>1091</v>
      </c>
      <c r="E49" s="168" t="s">
        <v>1135</v>
      </c>
      <c r="F49" s="168" t="s">
        <v>799</v>
      </c>
      <c r="G49" s="168" t="s">
        <v>1168</v>
      </c>
      <c r="H49" s="168" t="s">
        <v>1069</v>
      </c>
      <c r="I49" s="168" t="s">
        <v>1169</v>
      </c>
      <c r="J49" s="168" t="s">
        <v>1170</v>
      </c>
      <c r="K49" s="177" t="s">
        <v>1122</v>
      </c>
    </row>
    <row r="50" spans="1:11" ht="11.25">
      <c r="A50" s="178">
        <v>1</v>
      </c>
      <c r="B50" s="169" t="s">
        <v>831</v>
      </c>
      <c r="C50" s="169" t="s">
        <v>826</v>
      </c>
      <c r="D50" s="169" t="s">
        <v>1067</v>
      </c>
      <c r="E50" s="169" t="s">
        <v>1059</v>
      </c>
      <c r="F50" s="169" t="s">
        <v>206</v>
      </c>
      <c r="G50" s="169" t="s">
        <v>1200</v>
      </c>
      <c r="H50" s="169" t="s">
        <v>1087</v>
      </c>
      <c r="I50" s="169" t="s">
        <v>1115</v>
      </c>
      <c r="J50" s="169" t="s">
        <v>805</v>
      </c>
      <c r="K50" s="178" t="s">
        <v>1057</v>
      </c>
    </row>
    <row r="51" spans="1:11" ht="11.25">
      <c r="A51" s="177">
        <v>1</v>
      </c>
      <c r="B51" s="168" t="s">
        <v>832</v>
      </c>
      <c r="C51" s="168" t="s">
        <v>804</v>
      </c>
      <c r="D51" s="168" t="s">
        <v>1104</v>
      </c>
      <c r="E51" s="168" t="s">
        <v>1059</v>
      </c>
      <c r="F51" s="168" t="s">
        <v>206</v>
      </c>
      <c r="G51" s="168" t="s">
        <v>1156</v>
      </c>
      <c r="H51" s="168" t="s">
        <v>1108</v>
      </c>
      <c r="I51" s="168" t="s">
        <v>1141</v>
      </c>
      <c r="J51" s="168" t="s">
        <v>805</v>
      </c>
      <c r="K51" s="177" t="s">
        <v>1057</v>
      </c>
    </row>
    <row r="52" spans="1:11" ht="11.25">
      <c r="A52" s="178">
        <v>1</v>
      </c>
      <c r="B52" s="169" t="s">
        <v>833</v>
      </c>
      <c r="C52" s="169" t="s">
        <v>822</v>
      </c>
      <c r="D52" s="169" t="s">
        <v>1064</v>
      </c>
      <c r="E52" s="169" t="s">
        <v>1059</v>
      </c>
      <c r="F52" s="169" t="s">
        <v>817</v>
      </c>
      <c r="G52" s="169" t="s">
        <v>1084</v>
      </c>
      <c r="H52" s="169" t="s">
        <v>1118</v>
      </c>
      <c r="I52" s="169" t="s">
        <v>1061</v>
      </c>
      <c r="J52" s="169" t="s">
        <v>801</v>
      </c>
      <c r="K52" s="178" t="s">
        <v>1057</v>
      </c>
    </row>
    <row r="53" spans="1:11" ht="11.25">
      <c r="A53" s="177">
        <v>1</v>
      </c>
      <c r="B53" s="168" t="s">
        <v>834</v>
      </c>
      <c r="C53" s="168" t="s">
        <v>815</v>
      </c>
      <c r="D53" s="168" t="s">
        <v>1067</v>
      </c>
      <c r="E53" s="168" t="s">
        <v>1059</v>
      </c>
      <c r="F53" s="168" t="s">
        <v>799</v>
      </c>
      <c r="G53" s="168" t="s">
        <v>1152</v>
      </c>
      <c r="H53" s="168" t="s">
        <v>1069</v>
      </c>
      <c r="I53" s="168" t="s">
        <v>1087</v>
      </c>
      <c r="J53" s="168" t="s">
        <v>1087</v>
      </c>
      <c r="K53" s="177" t="s">
        <v>1057</v>
      </c>
    </row>
    <row r="54" spans="1:11" ht="11.25">
      <c r="A54" s="178">
        <v>1</v>
      </c>
      <c r="B54" s="169" t="s">
        <v>835</v>
      </c>
      <c r="C54" s="169" t="s">
        <v>826</v>
      </c>
      <c r="D54" s="169" t="s">
        <v>1091</v>
      </c>
      <c r="E54" s="169" t="s">
        <v>1135</v>
      </c>
      <c r="F54" s="169" t="s">
        <v>799</v>
      </c>
      <c r="G54" s="169" t="s">
        <v>1168</v>
      </c>
      <c r="H54" s="169" t="s">
        <v>1069</v>
      </c>
      <c r="I54" s="169" t="s">
        <v>1169</v>
      </c>
      <c r="J54" s="169" t="s">
        <v>1170</v>
      </c>
      <c r="K54" s="178" t="s">
        <v>1122</v>
      </c>
    </row>
    <row r="55" spans="1:11" ht="11.25">
      <c r="A55" s="177">
        <v>1</v>
      </c>
      <c r="B55" s="168" t="s">
        <v>836</v>
      </c>
      <c r="C55" s="168" t="s">
        <v>826</v>
      </c>
      <c r="D55" s="168" t="s">
        <v>1067</v>
      </c>
      <c r="E55" s="168" t="s">
        <v>1059</v>
      </c>
      <c r="F55" s="168" t="s">
        <v>1274</v>
      </c>
      <c r="G55" s="168" t="s">
        <v>1297</v>
      </c>
      <c r="H55" s="168" t="s">
        <v>1118</v>
      </c>
      <c r="I55" s="168" t="s">
        <v>1061</v>
      </c>
      <c r="J55" s="168" t="s">
        <v>801</v>
      </c>
      <c r="K55" s="177" t="s">
        <v>1057</v>
      </c>
    </row>
    <row r="56" spans="1:11" ht="11.25">
      <c r="A56" s="178">
        <v>1</v>
      </c>
      <c r="B56" s="169" t="s">
        <v>837</v>
      </c>
      <c r="C56" s="169" t="s">
        <v>822</v>
      </c>
      <c r="D56" s="169" t="s">
        <v>1071</v>
      </c>
      <c r="E56" s="169" t="s">
        <v>1059</v>
      </c>
      <c r="F56" s="169" t="s">
        <v>1246</v>
      </c>
      <c r="G56" s="169" t="s">
        <v>1297</v>
      </c>
      <c r="H56" s="169" t="s">
        <v>1308</v>
      </c>
      <c r="I56" s="169" t="s">
        <v>1061</v>
      </c>
      <c r="J56" s="169" t="s">
        <v>801</v>
      </c>
      <c r="K56" s="178" t="s">
        <v>1057</v>
      </c>
    </row>
    <row r="57" spans="1:11" ht="11.25">
      <c r="A57" s="177">
        <v>1</v>
      </c>
      <c r="B57" s="168" t="s">
        <v>838</v>
      </c>
      <c r="C57" s="168" t="s">
        <v>822</v>
      </c>
      <c r="D57" s="168" t="s">
        <v>1071</v>
      </c>
      <c r="E57" s="168" t="s">
        <v>1059</v>
      </c>
      <c r="F57" s="168" t="s">
        <v>1246</v>
      </c>
      <c r="G57" s="168" t="s">
        <v>1297</v>
      </c>
      <c r="H57" s="168" t="s">
        <v>1308</v>
      </c>
      <c r="I57" s="168" t="s">
        <v>1061</v>
      </c>
      <c r="J57" s="168" t="s">
        <v>801</v>
      </c>
      <c r="K57" s="177" t="s">
        <v>1057</v>
      </c>
    </row>
    <row r="58" spans="1:11" ht="11.25">
      <c r="A58" s="178">
        <v>1</v>
      </c>
      <c r="B58" s="169" t="s">
        <v>839</v>
      </c>
      <c r="C58" s="169" t="s">
        <v>822</v>
      </c>
      <c r="D58" s="169" t="s">
        <v>1071</v>
      </c>
      <c r="E58" s="169" t="s">
        <v>1059</v>
      </c>
      <c r="F58" s="169" t="s">
        <v>1246</v>
      </c>
      <c r="G58" s="169" t="s">
        <v>1297</v>
      </c>
      <c r="H58" s="169" t="s">
        <v>1308</v>
      </c>
      <c r="I58" s="169" t="s">
        <v>1061</v>
      </c>
      <c r="J58" s="169" t="s">
        <v>801</v>
      </c>
      <c r="K58" s="178" t="s">
        <v>1057</v>
      </c>
    </row>
    <row r="59" spans="1:11" ht="11.25">
      <c r="A59" s="177">
        <v>1</v>
      </c>
      <c r="B59" s="168" t="s">
        <v>840</v>
      </c>
      <c r="C59" s="168" t="s">
        <v>822</v>
      </c>
      <c r="D59" s="168" t="s">
        <v>1071</v>
      </c>
      <c r="E59" s="168" t="s">
        <v>1059</v>
      </c>
      <c r="F59" s="168" t="s">
        <v>1246</v>
      </c>
      <c r="G59" s="168" t="s">
        <v>1297</v>
      </c>
      <c r="H59" s="168" t="s">
        <v>1308</v>
      </c>
      <c r="I59" s="168" t="s">
        <v>1061</v>
      </c>
      <c r="J59" s="168" t="s">
        <v>801</v>
      </c>
      <c r="K59" s="177" t="s">
        <v>1057</v>
      </c>
    </row>
    <row r="60" spans="1:11" ht="11.25">
      <c r="A60" s="178">
        <v>1</v>
      </c>
      <c r="B60" s="169" t="s">
        <v>1317</v>
      </c>
      <c r="C60" s="169" t="s">
        <v>822</v>
      </c>
      <c r="D60" s="169" t="s">
        <v>1064</v>
      </c>
      <c r="E60" s="169" t="s">
        <v>1059</v>
      </c>
      <c r="F60" s="169" t="s">
        <v>1246</v>
      </c>
      <c r="G60" s="169" t="s">
        <v>1297</v>
      </c>
      <c r="H60" s="169" t="s">
        <v>208</v>
      </c>
      <c r="I60" s="169" t="s">
        <v>1061</v>
      </c>
      <c r="J60" s="169" t="s">
        <v>801</v>
      </c>
      <c r="K60" s="178" t="s">
        <v>1057</v>
      </c>
    </row>
    <row r="61" spans="1:11" ht="11.25">
      <c r="A61" s="177">
        <v>1</v>
      </c>
      <c r="B61" s="168" t="s">
        <v>841</v>
      </c>
      <c r="C61" s="168" t="s">
        <v>1162</v>
      </c>
      <c r="D61" s="168" t="s">
        <v>1071</v>
      </c>
      <c r="E61" s="168" t="s">
        <v>1059</v>
      </c>
      <c r="F61" s="168" t="s">
        <v>817</v>
      </c>
      <c r="G61" s="168" t="s">
        <v>1084</v>
      </c>
      <c r="H61" s="168" t="s">
        <v>1135</v>
      </c>
      <c r="I61" s="168" t="s">
        <v>1061</v>
      </c>
      <c r="J61" s="168" t="s">
        <v>801</v>
      </c>
      <c r="K61" s="177" t="s">
        <v>1057</v>
      </c>
    </row>
    <row r="62" spans="1:11" ht="11.25">
      <c r="A62" s="178">
        <v>1</v>
      </c>
      <c r="B62" s="169" t="s">
        <v>842</v>
      </c>
      <c r="C62" s="169" t="s">
        <v>826</v>
      </c>
      <c r="D62" s="169" t="s">
        <v>1071</v>
      </c>
      <c r="E62" s="169" t="s">
        <v>1059</v>
      </c>
      <c r="F62" s="169" t="s">
        <v>212</v>
      </c>
      <c r="G62" s="169" t="s">
        <v>1156</v>
      </c>
      <c r="H62" s="169" t="s">
        <v>1135</v>
      </c>
      <c r="I62" s="169" t="s">
        <v>1141</v>
      </c>
      <c r="J62" s="169" t="s">
        <v>805</v>
      </c>
      <c r="K62" s="178" t="s">
        <v>1057</v>
      </c>
    </row>
    <row r="63" spans="1:11" ht="11.25">
      <c r="A63" s="177">
        <v>1</v>
      </c>
      <c r="B63" s="168" t="s">
        <v>843</v>
      </c>
      <c r="C63" s="168" t="s">
        <v>845</v>
      </c>
      <c r="D63" s="168" t="s">
        <v>1067</v>
      </c>
      <c r="E63" s="168" t="s">
        <v>1059</v>
      </c>
      <c r="F63" s="168" t="s">
        <v>799</v>
      </c>
      <c r="G63" s="168" t="s">
        <v>1152</v>
      </c>
      <c r="H63" s="168" t="s">
        <v>1139</v>
      </c>
      <c r="I63" s="168" t="s">
        <v>1153</v>
      </c>
      <c r="J63" s="168" t="s">
        <v>1073</v>
      </c>
      <c r="K63" s="177" t="s">
        <v>1057</v>
      </c>
    </row>
    <row r="64" spans="1:11" ht="11.25">
      <c r="A64" s="178">
        <v>1</v>
      </c>
      <c r="B64" s="169" t="s">
        <v>844</v>
      </c>
      <c r="C64" s="169" t="s">
        <v>845</v>
      </c>
      <c r="D64" s="169" t="s">
        <v>1067</v>
      </c>
      <c r="E64" s="169" t="s">
        <v>1059</v>
      </c>
      <c r="F64" s="169" t="s">
        <v>817</v>
      </c>
      <c r="G64" s="169" t="s">
        <v>1084</v>
      </c>
      <c r="H64" s="169" t="s">
        <v>213</v>
      </c>
      <c r="I64" s="169" t="s">
        <v>1061</v>
      </c>
      <c r="J64" s="169" t="s">
        <v>801</v>
      </c>
      <c r="K64" s="178" t="s">
        <v>1057</v>
      </c>
    </row>
    <row r="65" spans="1:11" ht="11.25">
      <c r="A65" s="177">
        <v>1</v>
      </c>
      <c r="B65" s="168" t="s">
        <v>44</v>
      </c>
      <c r="C65" s="168" t="s">
        <v>845</v>
      </c>
      <c r="D65" s="168" t="s">
        <v>1071</v>
      </c>
      <c r="E65" s="168" t="s">
        <v>1059</v>
      </c>
      <c r="F65" s="168" t="s">
        <v>799</v>
      </c>
      <c r="G65" s="168" t="s">
        <v>214</v>
      </c>
      <c r="H65" s="168" t="s">
        <v>210</v>
      </c>
      <c r="I65" s="168" t="s">
        <v>1087</v>
      </c>
      <c r="J65" s="168" t="s">
        <v>805</v>
      </c>
      <c r="K65" s="177" t="s">
        <v>1057</v>
      </c>
    </row>
    <row r="66" spans="1:11" ht="11.25">
      <c r="A66" s="178">
        <v>1</v>
      </c>
      <c r="B66" s="169" t="s">
        <v>846</v>
      </c>
      <c r="C66" s="169" t="s">
        <v>826</v>
      </c>
      <c r="D66" s="169" t="s">
        <v>1067</v>
      </c>
      <c r="E66" s="169" t="s">
        <v>1059</v>
      </c>
      <c r="F66" s="169" t="s">
        <v>799</v>
      </c>
      <c r="G66" s="169" t="s">
        <v>1152</v>
      </c>
      <c r="H66" s="169" t="s">
        <v>1069</v>
      </c>
      <c r="I66" s="169" t="s">
        <v>95</v>
      </c>
      <c r="J66" s="169" t="s">
        <v>805</v>
      </c>
      <c r="K66" s="178" t="s">
        <v>1057</v>
      </c>
    </row>
    <row r="67" spans="1:11" ht="11.25">
      <c r="A67" s="177">
        <v>1</v>
      </c>
      <c r="B67" s="168" t="s">
        <v>847</v>
      </c>
      <c r="C67" s="168" t="s">
        <v>811</v>
      </c>
      <c r="D67" s="168" t="s">
        <v>1071</v>
      </c>
      <c r="E67" s="168" t="s">
        <v>1059</v>
      </c>
      <c r="F67" s="168" t="s">
        <v>799</v>
      </c>
      <c r="G67" s="168" t="s">
        <v>172</v>
      </c>
      <c r="H67" s="168" t="s">
        <v>173</v>
      </c>
      <c r="I67" s="168" t="s">
        <v>1081</v>
      </c>
      <c r="J67" s="168" t="s">
        <v>1082</v>
      </c>
      <c r="K67" s="177" t="s">
        <v>1057</v>
      </c>
    </row>
    <row r="68" spans="1:11" ht="11.25">
      <c r="A68" s="178">
        <v>1</v>
      </c>
      <c r="B68" s="169" t="s">
        <v>848</v>
      </c>
      <c r="C68" s="169" t="s">
        <v>811</v>
      </c>
      <c r="D68" s="169" t="s">
        <v>1071</v>
      </c>
      <c r="E68" s="169" t="s">
        <v>1059</v>
      </c>
      <c r="F68" s="169" t="s">
        <v>799</v>
      </c>
      <c r="G68" s="169" t="s">
        <v>1172</v>
      </c>
      <c r="H68" s="169" t="s">
        <v>1135</v>
      </c>
      <c r="I68" s="169" t="s">
        <v>1081</v>
      </c>
      <c r="J68" s="169" t="s">
        <v>1082</v>
      </c>
      <c r="K68" s="178" t="s">
        <v>1057</v>
      </c>
    </row>
    <row r="69" spans="1:11" ht="11.25">
      <c r="A69" s="177">
        <v>1</v>
      </c>
      <c r="B69" s="168" t="s">
        <v>819</v>
      </c>
      <c r="C69" s="168" t="s">
        <v>815</v>
      </c>
      <c r="D69" s="168" t="s">
        <v>1067</v>
      </c>
      <c r="E69" s="168" t="s">
        <v>1059</v>
      </c>
      <c r="F69" s="168" t="s">
        <v>1228</v>
      </c>
      <c r="G69" s="168" t="s">
        <v>253</v>
      </c>
      <c r="H69" s="168" t="s">
        <v>1135</v>
      </c>
      <c r="I69" s="168" t="s">
        <v>1061</v>
      </c>
      <c r="J69" s="168" t="s">
        <v>801</v>
      </c>
      <c r="K69" s="177" t="s">
        <v>1057</v>
      </c>
    </row>
    <row r="70" spans="1:11" ht="11.25">
      <c r="A70" s="178">
        <v>1</v>
      </c>
      <c r="B70" s="169" t="s">
        <v>317</v>
      </c>
      <c r="C70" s="169" t="s">
        <v>845</v>
      </c>
      <c r="D70" s="169" t="s">
        <v>1064</v>
      </c>
      <c r="E70" s="169" t="s">
        <v>1059</v>
      </c>
      <c r="F70" s="169" t="s">
        <v>799</v>
      </c>
      <c r="G70" s="169" t="s">
        <v>1152</v>
      </c>
      <c r="H70" s="169" t="s">
        <v>213</v>
      </c>
      <c r="I70" s="169" t="s">
        <v>1153</v>
      </c>
      <c r="J70" s="169" t="s">
        <v>1087</v>
      </c>
      <c r="K70" s="178" t="s">
        <v>1057</v>
      </c>
    </row>
    <row r="71" spans="1:11" ht="11.25">
      <c r="A71" s="177">
        <v>1</v>
      </c>
      <c r="B71" s="168" t="s">
        <v>321</v>
      </c>
      <c r="C71" s="168" t="s">
        <v>845</v>
      </c>
      <c r="D71" s="168" t="s">
        <v>1064</v>
      </c>
      <c r="E71" s="168" t="s">
        <v>1059</v>
      </c>
      <c r="F71" s="168" t="s">
        <v>799</v>
      </c>
      <c r="G71" s="168" t="s">
        <v>1152</v>
      </c>
      <c r="H71" s="168" t="s">
        <v>213</v>
      </c>
      <c r="I71" s="168" t="s">
        <v>1153</v>
      </c>
      <c r="J71" s="168" t="s">
        <v>1087</v>
      </c>
      <c r="K71" s="177" t="s">
        <v>1057</v>
      </c>
    </row>
    <row r="72" spans="1:11" ht="11.25">
      <c r="A72" s="178">
        <v>1</v>
      </c>
      <c r="B72" s="169" t="s">
        <v>323</v>
      </c>
      <c r="C72" s="169" t="s">
        <v>845</v>
      </c>
      <c r="D72" s="169" t="s">
        <v>1064</v>
      </c>
      <c r="E72" s="169" t="s">
        <v>1059</v>
      </c>
      <c r="F72" s="169" t="s">
        <v>799</v>
      </c>
      <c r="G72" s="169" t="s">
        <v>1152</v>
      </c>
      <c r="H72" s="169" t="s">
        <v>213</v>
      </c>
      <c r="I72" s="169" t="s">
        <v>1153</v>
      </c>
      <c r="J72" s="169" t="s">
        <v>1087</v>
      </c>
      <c r="K72" s="178" t="s">
        <v>1057</v>
      </c>
    </row>
    <row r="73" spans="1:11" ht="11.25">
      <c r="A73" s="177">
        <v>1</v>
      </c>
      <c r="B73" s="168" t="s">
        <v>325</v>
      </c>
      <c r="C73" s="168" t="s">
        <v>845</v>
      </c>
      <c r="D73" s="168" t="s">
        <v>1064</v>
      </c>
      <c r="E73" s="168" t="s">
        <v>1059</v>
      </c>
      <c r="F73" s="168" t="s">
        <v>799</v>
      </c>
      <c r="G73" s="168" t="s">
        <v>1152</v>
      </c>
      <c r="H73" s="168" t="s">
        <v>213</v>
      </c>
      <c r="I73" s="168" t="s">
        <v>1153</v>
      </c>
      <c r="J73" s="168" t="s">
        <v>1087</v>
      </c>
      <c r="K73" s="177" t="s">
        <v>1057</v>
      </c>
    </row>
    <row r="74" spans="1:11" ht="11.25">
      <c r="A74" s="178">
        <v>1</v>
      </c>
      <c r="B74" s="169" t="s">
        <v>849</v>
      </c>
      <c r="C74" s="169" t="s">
        <v>845</v>
      </c>
      <c r="D74" s="169" t="s">
        <v>1067</v>
      </c>
      <c r="E74" s="169" t="s">
        <v>1059</v>
      </c>
      <c r="F74" s="169" t="s">
        <v>206</v>
      </c>
      <c r="G74" s="169" t="s">
        <v>215</v>
      </c>
      <c r="H74" s="169" t="s">
        <v>1087</v>
      </c>
      <c r="I74" s="169" t="s">
        <v>1153</v>
      </c>
      <c r="J74" s="169" t="s">
        <v>1073</v>
      </c>
      <c r="K74" s="178" t="s">
        <v>1057</v>
      </c>
    </row>
    <row r="75" spans="1:11" ht="11.25">
      <c r="A75" s="177">
        <v>1</v>
      </c>
      <c r="B75" s="168" t="s">
        <v>850</v>
      </c>
      <c r="C75" s="168" t="s">
        <v>845</v>
      </c>
      <c r="D75" s="168" t="s">
        <v>1071</v>
      </c>
      <c r="E75" s="168" t="s">
        <v>1059</v>
      </c>
      <c r="F75" s="168" t="s">
        <v>799</v>
      </c>
      <c r="G75" s="168" t="s">
        <v>1152</v>
      </c>
      <c r="H75" s="168" t="s">
        <v>216</v>
      </c>
      <c r="I75" s="168" t="s">
        <v>1141</v>
      </c>
      <c r="J75" s="168" t="s">
        <v>801</v>
      </c>
      <c r="K75" s="177" t="s">
        <v>1057</v>
      </c>
    </row>
    <row r="76" spans="1:11" ht="11.25">
      <c r="A76" s="178">
        <v>1</v>
      </c>
      <c r="B76" s="169" t="s">
        <v>851</v>
      </c>
      <c r="C76" s="169" t="s">
        <v>845</v>
      </c>
      <c r="D76" s="169" t="s">
        <v>1091</v>
      </c>
      <c r="E76" s="169" t="s">
        <v>1059</v>
      </c>
      <c r="F76" s="169" t="s">
        <v>799</v>
      </c>
      <c r="G76" s="169" t="s">
        <v>1152</v>
      </c>
      <c r="H76" s="169" t="s">
        <v>1135</v>
      </c>
      <c r="I76" s="169" t="s">
        <v>1153</v>
      </c>
      <c r="J76" s="169" t="s">
        <v>1073</v>
      </c>
      <c r="K76" s="178" t="s">
        <v>1057</v>
      </c>
    </row>
    <row r="77" spans="1:11" ht="11.25">
      <c r="A77" s="177">
        <v>1</v>
      </c>
      <c r="B77" s="168" t="s">
        <v>852</v>
      </c>
      <c r="C77" s="168" t="s">
        <v>815</v>
      </c>
      <c r="D77" s="168" t="s">
        <v>1077</v>
      </c>
      <c r="E77" s="168" t="s">
        <v>1108</v>
      </c>
      <c r="F77" s="168" t="s">
        <v>206</v>
      </c>
      <c r="G77" s="168" t="s">
        <v>484</v>
      </c>
      <c r="H77" s="168" t="s">
        <v>217</v>
      </c>
      <c r="I77" s="168" t="s">
        <v>1061</v>
      </c>
      <c r="J77" s="168" t="s">
        <v>801</v>
      </c>
      <c r="K77" s="177" t="s">
        <v>1057</v>
      </c>
    </row>
    <row r="80" spans="1:2" ht="12.75">
      <c r="A80" s="700" t="s">
        <v>218</v>
      </c>
      <c r="B80" s="700"/>
    </row>
    <row r="81" spans="1:11" ht="11.25">
      <c r="A81" s="176" t="s">
        <v>233</v>
      </c>
      <c r="B81" s="167" t="s">
        <v>795</v>
      </c>
      <c r="C81" s="167" t="s">
        <v>1050</v>
      </c>
      <c r="D81" s="167" t="s">
        <v>1051</v>
      </c>
      <c r="E81" s="167" t="s">
        <v>1052</v>
      </c>
      <c r="F81" s="167" t="s">
        <v>728</v>
      </c>
      <c r="G81" s="167" t="s">
        <v>1053</v>
      </c>
      <c r="H81" s="167" t="s">
        <v>796</v>
      </c>
      <c r="I81" s="167" t="s">
        <v>797</v>
      </c>
      <c r="J81" s="167" t="s">
        <v>1054</v>
      </c>
      <c r="K81" s="176" t="s">
        <v>1055</v>
      </c>
    </row>
    <row r="82" spans="1:11" ht="11.25">
      <c r="A82" s="177">
        <v>2</v>
      </c>
      <c r="B82" s="168" t="s">
        <v>853</v>
      </c>
      <c r="C82" s="168" t="s">
        <v>804</v>
      </c>
      <c r="D82" s="168" t="s">
        <v>1071</v>
      </c>
      <c r="E82" s="168" t="s">
        <v>1059</v>
      </c>
      <c r="F82" s="168" t="s">
        <v>799</v>
      </c>
      <c r="G82" s="168" t="s">
        <v>1072</v>
      </c>
      <c r="H82" s="168" t="s">
        <v>1135</v>
      </c>
      <c r="I82" s="168" t="s">
        <v>1061</v>
      </c>
      <c r="J82" s="168" t="s">
        <v>1073</v>
      </c>
      <c r="K82" s="177" t="s">
        <v>1057</v>
      </c>
    </row>
    <row r="83" spans="1:11" ht="11.25">
      <c r="A83" s="178">
        <v>2</v>
      </c>
      <c r="B83" s="169" t="s">
        <v>1079</v>
      </c>
      <c r="C83" s="169" t="s">
        <v>811</v>
      </c>
      <c r="D83" s="169" t="s">
        <v>1071</v>
      </c>
      <c r="E83" s="169" t="s">
        <v>1059</v>
      </c>
      <c r="F83" s="169" t="s">
        <v>799</v>
      </c>
      <c r="G83" s="169" t="s">
        <v>1080</v>
      </c>
      <c r="H83" s="169" t="s">
        <v>1135</v>
      </c>
      <c r="I83" s="169" t="s">
        <v>1081</v>
      </c>
      <c r="J83" s="169" t="s">
        <v>1082</v>
      </c>
      <c r="K83" s="178" t="s">
        <v>1057</v>
      </c>
    </row>
    <row r="84" spans="1:11" ht="11.25">
      <c r="A84" s="177">
        <v>2</v>
      </c>
      <c r="B84" s="168" t="s">
        <v>855</v>
      </c>
      <c r="C84" s="168" t="s">
        <v>822</v>
      </c>
      <c r="D84" s="168" t="s">
        <v>1058</v>
      </c>
      <c r="E84" s="168" t="s">
        <v>1135</v>
      </c>
      <c r="F84" s="168" t="s">
        <v>817</v>
      </c>
      <c r="G84" s="168" t="s">
        <v>1084</v>
      </c>
      <c r="H84" s="168" t="s">
        <v>1069</v>
      </c>
      <c r="I84" s="168" t="s">
        <v>1061</v>
      </c>
      <c r="J84" s="168" t="s">
        <v>801</v>
      </c>
      <c r="K84" s="177" t="s">
        <v>1136</v>
      </c>
    </row>
    <row r="85" spans="1:11" ht="11.25">
      <c r="A85" s="178">
        <v>2</v>
      </c>
      <c r="B85" s="169" t="s">
        <v>1151</v>
      </c>
      <c r="C85" s="169" t="s">
        <v>811</v>
      </c>
      <c r="D85" s="169" t="s">
        <v>1071</v>
      </c>
      <c r="E85" s="169" t="s">
        <v>1059</v>
      </c>
      <c r="F85" s="169" t="s">
        <v>799</v>
      </c>
      <c r="G85" s="169" t="s">
        <v>1152</v>
      </c>
      <c r="H85" s="169" t="s">
        <v>1135</v>
      </c>
      <c r="I85" s="169" t="s">
        <v>1153</v>
      </c>
      <c r="J85" s="169" t="s">
        <v>805</v>
      </c>
      <c r="K85" s="178" t="s">
        <v>1057</v>
      </c>
    </row>
    <row r="86" spans="1:11" ht="11.25">
      <c r="A86" s="177">
        <v>2</v>
      </c>
      <c r="B86" s="168" t="s">
        <v>856</v>
      </c>
      <c r="C86" s="168" t="s">
        <v>811</v>
      </c>
      <c r="D86" s="168" t="s">
        <v>1064</v>
      </c>
      <c r="E86" s="168" t="s">
        <v>1059</v>
      </c>
      <c r="F86" s="168" t="s">
        <v>799</v>
      </c>
      <c r="G86" s="168" t="s">
        <v>1152</v>
      </c>
      <c r="H86" s="168" t="s">
        <v>1135</v>
      </c>
      <c r="I86" s="168" t="s">
        <v>1153</v>
      </c>
      <c r="J86" s="168" t="s">
        <v>1073</v>
      </c>
      <c r="K86" s="177" t="s">
        <v>1057</v>
      </c>
    </row>
    <row r="87" spans="1:11" ht="11.25">
      <c r="A87" s="178">
        <v>2</v>
      </c>
      <c r="B87" s="169" t="s">
        <v>857</v>
      </c>
      <c r="C87" s="169" t="s">
        <v>804</v>
      </c>
      <c r="D87" s="169" t="s">
        <v>1071</v>
      </c>
      <c r="E87" s="169" t="s">
        <v>1059</v>
      </c>
      <c r="F87" s="169" t="s">
        <v>212</v>
      </c>
      <c r="G87" s="169" t="s">
        <v>1196</v>
      </c>
      <c r="H87" s="169" t="s">
        <v>219</v>
      </c>
      <c r="I87" s="169" t="s">
        <v>1141</v>
      </c>
      <c r="J87" s="169" t="s">
        <v>805</v>
      </c>
      <c r="K87" s="178" t="s">
        <v>1057</v>
      </c>
    </row>
    <row r="88" spans="1:11" ht="11.25">
      <c r="A88" s="177">
        <v>2</v>
      </c>
      <c r="B88" s="168" t="s">
        <v>858</v>
      </c>
      <c r="C88" s="168" t="s">
        <v>1162</v>
      </c>
      <c r="D88" s="168" t="s">
        <v>1251</v>
      </c>
      <c r="E88" s="168" t="s">
        <v>1059</v>
      </c>
      <c r="F88" s="168" t="s">
        <v>206</v>
      </c>
      <c r="G88" s="168" t="s">
        <v>1252</v>
      </c>
      <c r="H88" s="168" t="s">
        <v>220</v>
      </c>
      <c r="I88" s="168" t="s">
        <v>1061</v>
      </c>
      <c r="J88" s="168" t="s">
        <v>801</v>
      </c>
      <c r="K88" s="177" t="s">
        <v>1122</v>
      </c>
    </row>
    <row r="89" spans="1:11" ht="11.25">
      <c r="A89" s="178">
        <v>2</v>
      </c>
      <c r="B89" s="169" t="s">
        <v>859</v>
      </c>
      <c r="C89" s="169" t="s">
        <v>815</v>
      </c>
      <c r="D89" s="169" t="s">
        <v>1067</v>
      </c>
      <c r="E89" s="169" t="s">
        <v>1059</v>
      </c>
      <c r="F89" s="169" t="s">
        <v>799</v>
      </c>
      <c r="G89" s="169" t="s">
        <v>1152</v>
      </c>
      <c r="H89" s="169" t="s">
        <v>1069</v>
      </c>
      <c r="I89" s="169" t="s">
        <v>1087</v>
      </c>
      <c r="J89" s="169" t="s">
        <v>1087</v>
      </c>
      <c r="K89" s="178" t="s">
        <v>1057</v>
      </c>
    </row>
    <row r="90" spans="1:11" ht="11.25">
      <c r="A90" s="177">
        <v>2</v>
      </c>
      <c r="B90" s="168" t="s">
        <v>860</v>
      </c>
      <c r="C90" s="168" t="s">
        <v>1162</v>
      </c>
      <c r="D90" s="168" t="s">
        <v>1289</v>
      </c>
      <c r="E90" s="168" t="s">
        <v>1059</v>
      </c>
      <c r="F90" s="168" t="s">
        <v>799</v>
      </c>
      <c r="G90" s="168" t="s">
        <v>1290</v>
      </c>
      <c r="H90" s="168" t="s">
        <v>210</v>
      </c>
      <c r="I90" s="168" t="s">
        <v>1061</v>
      </c>
      <c r="J90" s="168" t="s">
        <v>801</v>
      </c>
      <c r="K90" s="177" t="s">
        <v>1057</v>
      </c>
    </row>
    <row r="91" spans="1:11" ht="11.25">
      <c r="A91" s="178">
        <v>2</v>
      </c>
      <c r="B91" s="169" t="s">
        <v>861</v>
      </c>
      <c r="C91" s="169" t="s">
        <v>826</v>
      </c>
      <c r="D91" s="169" t="s">
        <v>1067</v>
      </c>
      <c r="E91" s="169" t="s">
        <v>1059</v>
      </c>
      <c r="F91" s="169" t="s">
        <v>799</v>
      </c>
      <c r="G91" s="169" t="s">
        <v>1072</v>
      </c>
      <c r="H91" s="169" t="s">
        <v>1087</v>
      </c>
      <c r="I91" s="169" t="s">
        <v>1141</v>
      </c>
      <c r="J91" s="169" t="s">
        <v>805</v>
      </c>
      <c r="K91" s="178" t="s">
        <v>1057</v>
      </c>
    </row>
    <row r="92" spans="1:11" ht="11.25">
      <c r="A92" s="177">
        <v>2</v>
      </c>
      <c r="B92" s="168" t="s">
        <v>862</v>
      </c>
      <c r="C92" s="168" t="s">
        <v>815</v>
      </c>
      <c r="D92" s="168" t="s">
        <v>1071</v>
      </c>
      <c r="E92" s="168" t="s">
        <v>1059</v>
      </c>
      <c r="F92" s="168" t="s">
        <v>799</v>
      </c>
      <c r="G92" s="168" t="s">
        <v>1152</v>
      </c>
      <c r="H92" s="168" t="s">
        <v>221</v>
      </c>
      <c r="I92" s="168" t="s">
        <v>1300</v>
      </c>
      <c r="J92" s="168" t="s">
        <v>1073</v>
      </c>
      <c r="K92" s="177" t="s">
        <v>1057</v>
      </c>
    </row>
    <row r="93" spans="1:11" ht="11.25">
      <c r="A93" s="178">
        <v>2</v>
      </c>
      <c r="B93" s="169" t="s">
        <v>863</v>
      </c>
      <c r="C93" s="169" t="s">
        <v>1162</v>
      </c>
      <c r="D93" s="169" t="s">
        <v>1251</v>
      </c>
      <c r="E93" s="169" t="s">
        <v>1059</v>
      </c>
      <c r="F93" s="169" t="s">
        <v>206</v>
      </c>
      <c r="G93" s="169" t="s">
        <v>1252</v>
      </c>
      <c r="H93" s="169" t="s">
        <v>220</v>
      </c>
      <c r="I93" s="169" t="s">
        <v>1061</v>
      </c>
      <c r="J93" s="169" t="s">
        <v>805</v>
      </c>
      <c r="K93" s="178" t="s">
        <v>1122</v>
      </c>
    </row>
    <row r="94" spans="1:11" ht="11.25">
      <c r="A94" s="177">
        <v>2</v>
      </c>
      <c r="B94" s="168" t="s">
        <v>1364</v>
      </c>
      <c r="C94" s="168" t="s">
        <v>811</v>
      </c>
      <c r="D94" s="168" t="s">
        <v>1064</v>
      </c>
      <c r="E94" s="168" t="s">
        <v>1059</v>
      </c>
      <c r="F94" s="168" t="s">
        <v>799</v>
      </c>
      <c r="G94" s="168" t="s">
        <v>1152</v>
      </c>
      <c r="H94" s="168" t="s">
        <v>1135</v>
      </c>
      <c r="I94" s="168" t="s">
        <v>1153</v>
      </c>
      <c r="J94" s="168" t="s">
        <v>805</v>
      </c>
      <c r="K94" s="177" t="s">
        <v>1057</v>
      </c>
    </row>
    <row r="95" spans="1:11" ht="11.25">
      <c r="A95" s="178">
        <v>2</v>
      </c>
      <c r="B95" s="169" t="s">
        <v>864</v>
      </c>
      <c r="C95" s="169" t="s">
        <v>804</v>
      </c>
      <c r="D95" s="169" t="s">
        <v>1067</v>
      </c>
      <c r="E95" s="169" t="s">
        <v>1108</v>
      </c>
      <c r="F95" s="169" t="s">
        <v>212</v>
      </c>
      <c r="G95" s="169" t="s">
        <v>1382</v>
      </c>
      <c r="H95" s="169" t="s">
        <v>222</v>
      </c>
      <c r="I95" s="169" t="s">
        <v>1087</v>
      </c>
      <c r="J95" s="169" t="s">
        <v>805</v>
      </c>
      <c r="K95" s="178" t="s">
        <v>1057</v>
      </c>
    </row>
    <row r="96" spans="1:11" ht="11.25">
      <c r="A96" s="177">
        <v>2</v>
      </c>
      <c r="B96" s="168" t="s">
        <v>865</v>
      </c>
      <c r="C96" s="168" t="s">
        <v>822</v>
      </c>
      <c r="D96" s="168" t="s">
        <v>1067</v>
      </c>
      <c r="E96" s="168" t="s">
        <v>1059</v>
      </c>
      <c r="F96" s="168" t="s">
        <v>817</v>
      </c>
      <c r="G96" s="168" t="s">
        <v>1084</v>
      </c>
      <c r="H96" s="168" t="s">
        <v>1135</v>
      </c>
      <c r="I96" s="168" t="s">
        <v>1061</v>
      </c>
      <c r="J96" s="168" t="s">
        <v>801</v>
      </c>
      <c r="K96" s="177" t="s">
        <v>1057</v>
      </c>
    </row>
    <row r="97" spans="1:11" ht="11.25">
      <c r="A97" s="178">
        <v>2</v>
      </c>
      <c r="B97" s="169" t="s">
        <v>866</v>
      </c>
      <c r="C97" s="169" t="s">
        <v>826</v>
      </c>
      <c r="D97" s="169" t="s">
        <v>1064</v>
      </c>
      <c r="E97" s="169" t="s">
        <v>1059</v>
      </c>
      <c r="F97" s="169" t="s">
        <v>799</v>
      </c>
      <c r="G97" s="169" t="s">
        <v>1460</v>
      </c>
      <c r="H97" s="169" t="s">
        <v>223</v>
      </c>
      <c r="I97" s="169" t="s">
        <v>1169</v>
      </c>
      <c r="J97" s="169" t="s">
        <v>1170</v>
      </c>
      <c r="K97" s="178" t="s">
        <v>1057</v>
      </c>
    </row>
    <row r="98" spans="1:11" ht="11.25">
      <c r="A98" s="177">
        <v>2</v>
      </c>
      <c r="B98" s="168" t="s">
        <v>867</v>
      </c>
      <c r="C98" s="168" t="s">
        <v>804</v>
      </c>
      <c r="D98" s="168" t="s">
        <v>1077</v>
      </c>
      <c r="E98" s="168" t="s">
        <v>1059</v>
      </c>
      <c r="F98" s="168" t="s">
        <v>212</v>
      </c>
      <c r="G98" s="168" t="s">
        <v>1214</v>
      </c>
      <c r="H98" s="168" t="s">
        <v>1087</v>
      </c>
      <c r="I98" s="168" t="s">
        <v>1087</v>
      </c>
      <c r="J98" s="168" t="s">
        <v>805</v>
      </c>
      <c r="K98" s="177" t="s">
        <v>1057</v>
      </c>
    </row>
    <row r="99" spans="1:11" ht="11.25">
      <c r="A99" s="178">
        <v>2</v>
      </c>
      <c r="B99" s="169" t="s">
        <v>868</v>
      </c>
      <c r="C99" s="169" t="s">
        <v>826</v>
      </c>
      <c r="D99" s="169" t="s">
        <v>1067</v>
      </c>
      <c r="E99" s="169" t="s">
        <v>1059</v>
      </c>
      <c r="F99" s="169" t="s">
        <v>799</v>
      </c>
      <c r="G99" s="169" t="s">
        <v>1152</v>
      </c>
      <c r="H99" s="169" t="s">
        <v>1069</v>
      </c>
      <c r="I99" s="169" t="s">
        <v>95</v>
      </c>
      <c r="J99" s="169" t="s">
        <v>805</v>
      </c>
      <c r="K99" s="178" t="s">
        <v>1057</v>
      </c>
    </row>
    <row r="100" spans="1:11" ht="11.25">
      <c r="A100" s="177">
        <v>2</v>
      </c>
      <c r="B100" s="168" t="s">
        <v>869</v>
      </c>
      <c r="C100" s="168" t="s">
        <v>811</v>
      </c>
      <c r="D100" s="168" t="s">
        <v>1067</v>
      </c>
      <c r="E100" s="168" t="s">
        <v>1059</v>
      </c>
      <c r="F100" s="168" t="s">
        <v>206</v>
      </c>
      <c r="G100" s="168" t="s">
        <v>224</v>
      </c>
      <c r="H100" s="168" t="s">
        <v>1069</v>
      </c>
      <c r="I100" s="168" t="s">
        <v>1081</v>
      </c>
      <c r="J100" s="168" t="s">
        <v>1082</v>
      </c>
      <c r="K100" s="177" t="s">
        <v>1057</v>
      </c>
    </row>
    <row r="101" spans="1:11" ht="11.25">
      <c r="A101" s="178">
        <v>2</v>
      </c>
      <c r="B101" s="169" t="s">
        <v>259</v>
      </c>
      <c r="C101" s="169" t="s">
        <v>811</v>
      </c>
      <c r="D101" s="169" t="s">
        <v>1064</v>
      </c>
      <c r="E101" s="169" t="s">
        <v>1059</v>
      </c>
      <c r="F101" s="169" t="s">
        <v>799</v>
      </c>
      <c r="G101" s="169" t="s">
        <v>1152</v>
      </c>
      <c r="H101" s="169" t="s">
        <v>1135</v>
      </c>
      <c r="I101" s="169" t="s">
        <v>1153</v>
      </c>
      <c r="J101" s="169" t="s">
        <v>805</v>
      </c>
      <c r="K101" s="178" t="s">
        <v>1057</v>
      </c>
    </row>
    <row r="102" spans="1:11" ht="11.25">
      <c r="A102" s="177">
        <v>2</v>
      </c>
      <c r="B102" s="168" t="s">
        <v>870</v>
      </c>
      <c r="C102" s="168" t="s">
        <v>815</v>
      </c>
      <c r="D102" s="168" t="s">
        <v>1067</v>
      </c>
      <c r="E102" s="168" t="s">
        <v>1059</v>
      </c>
      <c r="F102" s="168" t="s">
        <v>206</v>
      </c>
      <c r="G102" s="168" t="s">
        <v>357</v>
      </c>
      <c r="H102" s="168" t="s">
        <v>1069</v>
      </c>
      <c r="I102" s="168" t="s">
        <v>1153</v>
      </c>
      <c r="J102" s="168" t="s">
        <v>1073</v>
      </c>
      <c r="K102" s="177" t="s">
        <v>1057</v>
      </c>
    </row>
    <row r="103" spans="1:11" ht="11.25">
      <c r="A103" s="178">
        <v>2</v>
      </c>
      <c r="B103" s="169" t="s">
        <v>367</v>
      </c>
      <c r="C103" s="169" t="s">
        <v>845</v>
      </c>
      <c r="D103" s="169" t="s">
        <v>1071</v>
      </c>
      <c r="E103" s="169" t="s">
        <v>1059</v>
      </c>
      <c r="F103" s="169" t="s">
        <v>799</v>
      </c>
      <c r="G103" s="169" t="s">
        <v>1152</v>
      </c>
      <c r="H103" s="169" t="s">
        <v>1118</v>
      </c>
      <c r="I103" s="169" t="s">
        <v>1300</v>
      </c>
      <c r="J103" s="169" t="s">
        <v>1073</v>
      </c>
      <c r="K103" s="178" t="s">
        <v>1057</v>
      </c>
    </row>
    <row r="104" spans="1:11" ht="11.25">
      <c r="A104" s="177">
        <v>2</v>
      </c>
      <c r="B104" s="168" t="s">
        <v>370</v>
      </c>
      <c r="C104" s="168" t="s">
        <v>815</v>
      </c>
      <c r="D104" s="168" t="s">
        <v>1067</v>
      </c>
      <c r="E104" s="168" t="s">
        <v>1407</v>
      </c>
      <c r="F104" s="168" t="s">
        <v>799</v>
      </c>
      <c r="G104" s="168" t="s">
        <v>1152</v>
      </c>
      <c r="H104" s="168" t="s">
        <v>1069</v>
      </c>
      <c r="I104" s="168" t="s">
        <v>1153</v>
      </c>
      <c r="J104" s="168" t="s">
        <v>1073</v>
      </c>
      <c r="K104" s="177" t="s">
        <v>1057</v>
      </c>
    </row>
    <row r="105" spans="1:11" ht="11.25">
      <c r="A105" s="178">
        <v>2</v>
      </c>
      <c r="B105" s="169" t="s">
        <v>871</v>
      </c>
      <c r="C105" s="169" t="s">
        <v>1162</v>
      </c>
      <c r="D105" s="169" t="s">
        <v>1064</v>
      </c>
      <c r="E105" s="169" t="s">
        <v>1059</v>
      </c>
      <c r="F105" s="169" t="s">
        <v>206</v>
      </c>
      <c r="G105" s="169" t="s">
        <v>228</v>
      </c>
      <c r="H105" s="169" t="s">
        <v>1069</v>
      </c>
      <c r="I105" s="169" t="s">
        <v>1087</v>
      </c>
      <c r="J105" s="169" t="s">
        <v>1217</v>
      </c>
      <c r="K105" s="178" t="s">
        <v>1057</v>
      </c>
    </row>
    <row r="106" spans="1:11" ht="11.25">
      <c r="A106" s="177">
        <v>2</v>
      </c>
      <c r="B106" s="168" t="s">
        <v>872</v>
      </c>
      <c r="C106" s="168" t="s">
        <v>845</v>
      </c>
      <c r="D106" s="168" t="s">
        <v>1086</v>
      </c>
      <c r="E106" s="168" t="s">
        <v>1059</v>
      </c>
      <c r="F106" s="168" t="s">
        <v>206</v>
      </c>
      <c r="G106" s="168" t="s">
        <v>1144</v>
      </c>
      <c r="H106" s="168" t="s">
        <v>225</v>
      </c>
      <c r="I106" s="168" t="s">
        <v>1153</v>
      </c>
      <c r="J106" s="168" t="s">
        <v>1073</v>
      </c>
      <c r="K106" s="177" t="s">
        <v>80</v>
      </c>
    </row>
    <row r="107" spans="1:11" ht="11.25">
      <c r="A107" s="178">
        <v>2</v>
      </c>
      <c r="B107" s="169" t="s">
        <v>873</v>
      </c>
      <c r="C107" s="169" t="s">
        <v>1179</v>
      </c>
      <c r="D107" s="169" t="s">
        <v>1067</v>
      </c>
      <c r="E107" s="169" t="s">
        <v>1059</v>
      </c>
      <c r="F107" s="169" t="s">
        <v>226</v>
      </c>
      <c r="G107" s="169" t="s">
        <v>229</v>
      </c>
      <c r="H107" s="169" t="s">
        <v>213</v>
      </c>
      <c r="I107" s="169" t="s">
        <v>1087</v>
      </c>
      <c r="J107" s="169" t="s">
        <v>1087</v>
      </c>
      <c r="K107" s="178" t="s">
        <v>1057</v>
      </c>
    </row>
    <row r="108" spans="1:11" ht="11.25">
      <c r="A108" s="177">
        <v>2</v>
      </c>
      <c r="B108" s="168" t="s">
        <v>874</v>
      </c>
      <c r="C108" s="168" t="s">
        <v>1162</v>
      </c>
      <c r="D108" s="168" t="s">
        <v>1077</v>
      </c>
      <c r="E108" s="168" t="s">
        <v>1059</v>
      </c>
      <c r="F108" s="168" t="s">
        <v>206</v>
      </c>
      <c r="G108" s="168" t="s">
        <v>450</v>
      </c>
      <c r="H108" s="168" t="s">
        <v>1069</v>
      </c>
      <c r="I108" s="168" t="s">
        <v>1306</v>
      </c>
      <c r="J108" s="168" t="s">
        <v>805</v>
      </c>
      <c r="K108" s="177" t="s">
        <v>1057</v>
      </c>
    </row>
    <row r="109" spans="1:11" ht="11.25">
      <c r="A109" s="178">
        <v>2</v>
      </c>
      <c r="B109" s="169" t="s">
        <v>876</v>
      </c>
      <c r="C109" s="169" t="s">
        <v>1162</v>
      </c>
      <c r="D109" s="169" t="s">
        <v>1071</v>
      </c>
      <c r="E109" s="169" t="s">
        <v>1059</v>
      </c>
      <c r="F109" s="169" t="s">
        <v>212</v>
      </c>
      <c r="G109" s="169" t="s">
        <v>468</v>
      </c>
      <c r="H109" s="169" t="s">
        <v>217</v>
      </c>
      <c r="I109" s="169" t="s">
        <v>1061</v>
      </c>
      <c r="J109" s="169" t="s">
        <v>805</v>
      </c>
      <c r="K109" s="178" t="s">
        <v>1057</v>
      </c>
    </row>
    <row r="110" spans="1:11" ht="11.25">
      <c r="A110" s="177">
        <v>2</v>
      </c>
      <c r="B110" s="168" t="s">
        <v>931</v>
      </c>
      <c r="C110" s="168" t="s">
        <v>822</v>
      </c>
      <c r="D110" s="168" t="s">
        <v>1067</v>
      </c>
      <c r="E110" s="168" t="s">
        <v>1059</v>
      </c>
      <c r="F110" s="168" t="s">
        <v>799</v>
      </c>
      <c r="G110" s="168" t="s">
        <v>227</v>
      </c>
      <c r="H110" s="168" t="s">
        <v>221</v>
      </c>
      <c r="I110" s="168" t="s">
        <v>1153</v>
      </c>
      <c r="J110" s="168" t="s">
        <v>1073</v>
      </c>
      <c r="K110" s="177" t="s">
        <v>1057</v>
      </c>
    </row>
    <row r="111" spans="1:11" ht="11.25">
      <c r="A111" s="178">
        <v>2</v>
      </c>
      <c r="B111" s="169" t="s">
        <v>877</v>
      </c>
      <c r="C111" s="169" t="s">
        <v>815</v>
      </c>
      <c r="D111" s="169" t="s">
        <v>1077</v>
      </c>
      <c r="E111" s="169" t="s">
        <v>1108</v>
      </c>
      <c r="F111" s="169" t="s">
        <v>206</v>
      </c>
      <c r="G111" s="169" t="s">
        <v>485</v>
      </c>
      <c r="H111" s="169" t="s">
        <v>217</v>
      </c>
      <c r="I111" s="169" t="s">
        <v>1061</v>
      </c>
      <c r="J111" s="169" t="s">
        <v>801</v>
      </c>
      <c r="K111" s="178" t="s">
        <v>1057</v>
      </c>
    </row>
    <row r="112" spans="1:11" ht="11.25">
      <c r="A112" s="177">
        <v>2</v>
      </c>
      <c r="B112" s="168" t="s">
        <v>878</v>
      </c>
      <c r="C112" s="168" t="s">
        <v>845</v>
      </c>
      <c r="D112" s="168" t="s">
        <v>1067</v>
      </c>
      <c r="E112" s="168" t="s">
        <v>1059</v>
      </c>
      <c r="F112" s="168" t="s">
        <v>206</v>
      </c>
      <c r="G112" s="168" t="s">
        <v>1332</v>
      </c>
      <c r="H112" s="168" t="s">
        <v>1139</v>
      </c>
      <c r="I112" s="168" t="s">
        <v>1169</v>
      </c>
      <c r="J112" s="168" t="s">
        <v>1217</v>
      </c>
      <c r="K112" s="177" t="s">
        <v>1057</v>
      </c>
    </row>
    <row r="113" spans="1:11" ht="11.25">
      <c r="A113" s="178">
        <v>2</v>
      </c>
      <c r="B113" s="169" t="s">
        <v>879</v>
      </c>
      <c r="C113" s="169" t="s">
        <v>804</v>
      </c>
      <c r="D113" s="169" t="s">
        <v>1071</v>
      </c>
      <c r="E113" s="169" t="s">
        <v>1059</v>
      </c>
      <c r="F113" s="169" t="s">
        <v>206</v>
      </c>
      <c r="G113" s="169" t="s">
        <v>1252</v>
      </c>
      <c r="H113" s="169" t="s">
        <v>1135</v>
      </c>
      <c r="I113" s="169" t="s">
        <v>1141</v>
      </c>
      <c r="J113" s="169" t="s">
        <v>805</v>
      </c>
      <c r="K113" s="178" t="s">
        <v>1057</v>
      </c>
    </row>
  </sheetData>
  <mergeCells count="7">
    <mergeCell ref="A28:B28"/>
    <mergeCell ref="A45:B45"/>
    <mergeCell ref="A80:B80"/>
    <mergeCell ref="A1:K1"/>
    <mergeCell ref="C2:F2"/>
    <mergeCell ref="A4:B4"/>
    <mergeCell ref="A16:B16"/>
  </mergeCells>
  <printOptions/>
  <pageMargins left="0.5" right="0.5" top="0.5" bottom="0.5" header="0.5" footer="0.5"/>
  <pageSetup horizontalDpi="600" verticalDpi="600" orientation="landscape" r:id="rId1"/>
  <rowBreaks count="2" manualBreakCount="2">
    <brk id="43" max="255" man="1"/>
    <brk id="78" max="255" man="1"/>
  </rowBreaks>
</worksheet>
</file>

<file path=xl/worksheets/sheet6.xml><?xml version="1.0" encoding="utf-8"?>
<worksheet xmlns="http://schemas.openxmlformats.org/spreadsheetml/2006/main" xmlns:r="http://schemas.openxmlformats.org/officeDocument/2006/relationships">
  <sheetPr>
    <tabColor indexed="54"/>
  </sheetPr>
  <dimension ref="A1:V609"/>
  <sheetViews>
    <sheetView workbookViewId="0" topLeftCell="A1">
      <pane ySplit="2" topLeftCell="BM3" activePane="bottomLeft" state="frozen"/>
      <selection pane="topLeft" activeCell="F26" sqref="F26"/>
      <selection pane="bottomLeft" activeCell="A3" sqref="A3"/>
    </sheetView>
  </sheetViews>
  <sheetFormatPr defaultColWidth="9.140625" defaultRowHeight="12.75"/>
  <cols>
    <col min="1" max="1" width="7.7109375" style="161" customWidth="1"/>
    <col min="2" max="2" width="7.28125" style="160" customWidth="1"/>
    <col min="3" max="6" width="7.28125" style="161" customWidth="1"/>
    <col min="7" max="8" width="7.28125" style="160" customWidth="1"/>
    <col min="9" max="9" width="7.28125" style="161" customWidth="1"/>
    <col min="10" max="10" width="7.28125" style="160" customWidth="1"/>
    <col min="11" max="11" width="7.28125" style="161" customWidth="1"/>
    <col min="12" max="12" width="14.57421875" style="160" customWidth="1"/>
    <col min="13" max="13" width="19.57421875" style="160" customWidth="1"/>
    <col min="14" max="14" width="5.140625" style="160" bestFit="1" customWidth="1"/>
    <col min="15" max="15" width="12.140625" style="160" customWidth="1"/>
    <col min="16" max="16" width="9.00390625" style="160" bestFit="1" customWidth="1"/>
    <col min="17" max="17" width="7.57421875" style="160" customWidth="1"/>
    <col min="18" max="18" width="54.28125" style="162" customWidth="1"/>
    <col min="19" max="19" width="17.57421875" style="160" customWidth="1"/>
    <col min="20" max="20" width="13.140625" style="160" customWidth="1"/>
    <col min="21" max="21" width="9.57421875" style="160" customWidth="1"/>
    <col min="22" max="22" width="5.140625" style="160" customWidth="1"/>
    <col min="23" max="16384" width="14.421875" style="160" customWidth="1"/>
  </cols>
  <sheetData>
    <row r="1" spans="1:15" ht="60.75" customHeight="1">
      <c r="A1" s="705" t="s">
        <v>101</v>
      </c>
      <c r="B1" s="705"/>
      <c r="C1" s="705"/>
      <c r="D1" s="705"/>
      <c r="E1" s="705"/>
      <c r="F1" s="705"/>
      <c r="G1" s="705"/>
      <c r="H1" s="705"/>
      <c r="I1" s="705"/>
      <c r="J1" s="705"/>
      <c r="K1" s="705"/>
      <c r="L1" s="705"/>
      <c r="M1" s="705"/>
      <c r="N1" s="221"/>
      <c r="O1" s="221"/>
    </row>
    <row r="2" spans="1:22" s="157" customFormat="1" ht="11.25">
      <c r="A2" s="158" t="s">
        <v>201</v>
      </c>
      <c r="B2" s="158" t="s">
        <v>1039</v>
      </c>
      <c r="C2" s="158" t="s">
        <v>1040</v>
      </c>
      <c r="D2" s="158" t="s">
        <v>1041</v>
      </c>
      <c r="E2" s="158" t="s">
        <v>1042</v>
      </c>
      <c r="F2" s="158" t="s">
        <v>1043</v>
      </c>
      <c r="G2" s="158" t="s">
        <v>1044</v>
      </c>
      <c r="H2" s="158" t="s">
        <v>1045</v>
      </c>
      <c r="I2" s="158" t="s">
        <v>1046</v>
      </c>
      <c r="J2" s="158" t="s">
        <v>1047</v>
      </c>
      <c r="K2" s="158" t="s">
        <v>1048</v>
      </c>
      <c r="L2" s="157" t="s">
        <v>1049</v>
      </c>
      <c r="M2" s="157" t="s">
        <v>795</v>
      </c>
      <c r="N2" s="157" t="s">
        <v>1050</v>
      </c>
      <c r="O2" s="157" t="s">
        <v>1051</v>
      </c>
      <c r="P2" s="157" t="s">
        <v>1052</v>
      </c>
      <c r="Q2" s="157" t="s">
        <v>728</v>
      </c>
      <c r="R2" s="159" t="s">
        <v>1053</v>
      </c>
      <c r="S2" s="157" t="s">
        <v>796</v>
      </c>
      <c r="T2" s="157" t="s">
        <v>797</v>
      </c>
      <c r="U2" s="157" t="s">
        <v>1054</v>
      </c>
      <c r="V2" s="157" t="s">
        <v>1055</v>
      </c>
    </row>
    <row r="3" spans="2:22" ht="11.25">
      <c r="B3" s="161" t="s">
        <v>1057</v>
      </c>
      <c r="C3" s="161" t="s">
        <v>1057</v>
      </c>
      <c r="D3" s="161" t="s">
        <v>1057</v>
      </c>
      <c r="E3" s="161" t="s">
        <v>1057</v>
      </c>
      <c r="F3" s="161" t="s">
        <v>1057</v>
      </c>
      <c r="G3" s="161" t="s">
        <v>1057</v>
      </c>
      <c r="H3" s="161" t="s">
        <v>1057</v>
      </c>
      <c r="I3" s="161" t="s">
        <v>1057</v>
      </c>
      <c r="J3" s="161">
        <v>0</v>
      </c>
      <c r="K3" s="161">
        <v>0</v>
      </c>
      <c r="L3" s="160" t="s">
        <v>1057</v>
      </c>
      <c r="M3" s="160" t="s">
        <v>1066</v>
      </c>
      <c r="N3" s="160" t="s">
        <v>815</v>
      </c>
      <c r="O3" s="160" t="s">
        <v>1067</v>
      </c>
      <c r="P3" s="160" t="s">
        <v>1059</v>
      </c>
      <c r="Q3" s="160" t="str">
        <f>CONCATENATE(25+(FLOOR(Data!E25/2,1)*5)," ft.")</f>
        <v>25 ft.</v>
      </c>
      <c r="R3" s="162" t="s">
        <v>1068</v>
      </c>
      <c r="S3" s="160" t="s">
        <v>1069</v>
      </c>
      <c r="T3" s="160" t="s">
        <v>1061</v>
      </c>
      <c r="U3" s="160" t="s">
        <v>801</v>
      </c>
      <c r="V3" s="160" t="s">
        <v>1057</v>
      </c>
    </row>
    <row r="4" spans="2:22" ht="11.25">
      <c r="B4" s="161" t="s">
        <v>1057</v>
      </c>
      <c r="C4" s="161" t="s">
        <v>1057</v>
      </c>
      <c r="D4" s="161" t="s">
        <v>1057</v>
      </c>
      <c r="E4" s="161" t="s">
        <v>1057</v>
      </c>
      <c r="F4" s="161" t="s">
        <v>1057</v>
      </c>
      <c r="G4" s="161" t="s">
        <v>1057</v>
      </c>
      <c r="H4" s="161" t="s">
        <v>1057</v>
      </c>
      <c r="I4" s="161" t="s">
        <v>1057</v>
      </c>
      <c r="J4" s="161">
        <v>6</v>
      </c>
      <c r="K4" s="161">
        <v>6</v>
      </c>
      <c r="L4" s="160" t="s">
        <v>1063</v>
      </c>
      <c r="M4" s="160" t="s">
        <v>1062</v>
      </c>
      <c r="N4" s="160" t="s">
        <v>815</v>
      </c>
      <c r="O4" s="160" t="s">
        <v>1064</v>
      </c>
      <c r="P4" s="160" t="s">
        <v>1059</v>
      </c>
      <c r="Q4" s="160" t="str">
        <f>CONCATENATE(100+(10*Data!E25)," ft.")</f>
        <v>110 ft.</v>
      </c>
      <c r="R4" s="162" t="s">
        <v>1065</v>
      </c>
      <c r="S4" s="160" t="str">
        <f>CONCATENATE(Data!E25," rnds")</f>
        <v>1 rnds</v>
      </c>
      <c r="T4" s="160" t="s">
        <v>1061</v>
      </c>
      <c r="U4" s="160" t="s">
        <v>801</v>
      </c>
      <c r="V4" s="160" t="s">
        <v>1057</v>
      </c>
    </row>
    <row r="5" spans="2:22" ht="11.25">
      <c r="B5" s="161" t="s">
        <v>1057</v>
      </c>
      <c r="C5" s="161" t="s">
        <v>1057</v>
      </c>
      <c r="D5" s="161" t="s">
        <v>1057</v>
      </c>
      <c r="E5" s="161" t="s">
        <v>1057</v>
      </c>
      <c r="F5" s="161" t="s">
        <v>1057</v>
      </c>
      <c r="G5" s="161" t="s">
        <v>1057</v>
      </c>
      <c r="H5" s="161" t="s">
        <v>1057</v>
      </c>
      <c r="I5" s="161" t="s">
        <v>1057</v>
      </c>
      <c r="J5" s="161">
        <v>0</v>
      </c>
      <c r="K5" s="161">
        <v>0</v>
      </c>
      <c r="L5" s="160" t="s">
        <v>1057</v>
      </c>
      <c r="M5" s="160" t="s">
        <v>798</v>
      </c>
      <c r="N5" s="160" t="s">
        <v>1123</v>
      </c>
      <c r="O5" s="160" t="s">
        <v>1067</v>
      </c>
      <c r="P5" s="160" t="s">
        <v>1059</v>
      </c>
      <c r="Q5" s="160" t="s">
        <v>1124</v>
      </c>
      <c r="R5" s="162" t="s">
        <v>1125</v>
      </c>
      <c r="S5" s="160" t="s">
        <v>800</v>
      </c>
      <c r="T5" s="160" t="s">
        <v>1061</v>
      </c>
      <c r="U5" s="160" t="s">
        <v>801</v>
      </c>
      <c r="V5" s="160" t="s">
        <v>1057</v>
      </c>
    </row>
    <row r="6" spans="2:22" ht="11.25">
      <c r="B6" s="161">
        <v>0</v>
      </c>
      <c r="C6" s="161" t="s">
        <v>1057</v>
      </c>
      <c r="D6" s="161" t="s">
        <v>1057</v>
      </c>
      <c r="E6" s="161" t="s">
        <v>1057</v>
      </c>
      <c r="F6" s="161">
        <v>0</v>
      </c>
      <c r="G6" s="161">
        <v>0</v>
      </c>
      <c r="H6" s="161">
        <v>1</v>
      </c>
      <c r="I6" s="161" t="s">
        <v>1057</v>
      </c>
      <c r="J6" s="161" t="s">
        <v>1057</v>
      </c>
      <c r="K6" s="161" t="s">
        <v>1057</v>
      </c>
      <c r="L6" s="160" t="s">
        <v>1057</v>
      </c>
      <c r="M6" s="160" t="s">
        <v>820</v>
      </c>
      <c r="N6" s="160" t="s">
        <v>815</v>
      </c>
      <c r="O6" s="160" t="s">
        <v>1067</v>
      </c>
      <c r="P6" s="160" t="s">
        <v>1059</v>
      </c>
      <c r="Q6" s="160" t="str">
        <f>CONCATENATE(25+(FLOOR(Data!E25/2,1)*5)," ft.")</f>
        <v>25 ft.</v>
      </c>
      <c r="R6" s="162" t="str">
        <f>CONCATENATE("Effect: Up to ",Data!E25*2," gallons of water")</f>
        <v>Effect: Up to 2 gallons of water</v>
      </c>
      <c r="S6" s="160" t="s">
        <v>1069</v>
      </c>
      <c r="T6" s="160" t="s">
        <v>1061</v>
      </c>
      <c r="U6" s="160" t="s">
        <v>801</v>
      </c>
      <c r="V6" s="160" t="s">
        <v>1057</v>
      </c>
    </row>
    <row r="7" spans="2:22" ht="11.25">
      <c r="B7" s="161" t="s">
        <v>1057</v>
      </c>
      <c r="C7" s="161" t="s">
        <v>1057</v>
      </c>
      <c r="D7" s="161" t="s">
        <v>1057</v>
      </c>
      <c r="E7" s="161" t="s">
        <v>1057</v>
      </c>
      <c r="F7" s="161">
        <v>4</v>
      </c>
      <c r="G7" s="161">
        <v>4</v>
      </c>
      <c r="H7" s="161" t="s">
        <v>1057</v>
      </c>
      <c r="I7" s="161" t="s">
        <v>1057</v>
      </c>
      <c r="J7" s="161" t="s">
        <v>1057</v>
      </c>
      <c r="K7" s="161" t="s">
        <v>1057</v>
      </c>
      <c r="L7" s="160" t="s">
        <v>1074</v>
      </c>
      <c r="M7" s="160" t="s">
        <v>913</v>
      </c>
      <c r="N7" s="160" t="s">
        <v>811</v>
      </c>
      <c r="O7" s="160" t="s">
        <v>1071</v>
      </c>
      <c r="P7" s="160" t="s">
        <v>1059</v>
      </c>
      <c r="Q7" s="160" t="s">
        <v>799</v>
      </c>
      <c r="R7" s="162" t="s">
        <v>1075</v>
      </c>
      <c r="S7" s="160" t="str">
        <f>CONCATENATE(Data!E25*10," min.")</f>
        <v>10 min.</v>
      </c>
      <c r="T7" s="160" t="s">
        <v>1061</v>
      </c>
      <c r="U7" s="160" t="s">
        <v>1073</v>
      </c>
      <c r="V7" s="160" t="s">
        <v>1057</v>
      </c>
    </row>
    <row r="8" spans="2:22" ht="11.25">
      <c r="B8" s="161">
        <v>0</v>
      </c>
      <c r="C8" s="161" t="s">
        <v>1057</v>
      </c>
      <c r="D8" s="161">
        <v>0</v>
      </c>
      <c r="E8" s="161" t="s">
        <v>1057</v>
      </c>
      <c r="F8" s="161">
        <v>0</v>
      </c>
      <c r="G8" s="161">
        <v>0</v>
      </c>
      <c r="H8" s="161" t="s">
        <v>1057</v>
      </c>
      <c r="I8" s="161" t="s">
        <v>1057</v>
      </c>
      <c r="J8" s="161">
        <v>0</v>
      </c>
      <c r="K8" s="161">
        <v>0</v>
      </c>
      <c r="L8" s="160" t="s">
        <v>1057</v>
      </c>
      <c r="M8" s="160" t="s">
        <v>806</v>
      </c>
      <c r="N8" s="160" t="s">
        <v>822</v>
      </c>
      <c r="O8" s="160" t="s">
        <v>1067</v>
      </c>
      <c r="P8" s="160" t="s">
        <v>1059</v>
      </c>
      <c r="Q8" s="160" t="s">
        <v>1246</v>
      </c>
      <c r="R8" s="162" t="s">
        <v>1297</v>
      </c>
      <c r="S8" s="160" t="str">
        <f>CONCATENATE("Con., up to ",Data!E25," min. [D]")</f>
        <v>Con., up to 1 min. [D]</v>
      </c>
      <c r="T8" s="160" t="s">
        <v>1061</v>
      </c>
      <c r="U8" s="160" t="s">
        <v>801</v>
      </c>
      <c r="V8" s="160" t="s">
        <v>1057</v>
      </c>
    </row>
    <row r="9" spans="2:22" ht="11.25">
      <c r="B9" s="161">
        <v>0</v>
      </c>
      <c r="C9" s="161" t="s">
        <v>1057</v>
      </c>
      <c r="D9" s="161" t="s">
        <v>1057</v>
      </c>
      <c r="E9" s="161" t="s">
        <v>1057</v>
      </c>
      <c r="F9" s="161">
        <v>0</v>
      </c>
      <c r="G9" s="161">
        <v>0</v>
      </c>
      <c r="H9" s="161" t="s">
        <v>1057</v>
      </c>
      <c r="I9" s="161" t="s">
        <v>1057</v>
      </c>
      <c r="J9" s="161" t="s">
        <v>1057</v>
      </c>
      <c r="K9" s="161" t="s">
        <v>1057</v>
      </c>
      <c r="L9" s="160" t="s">
        <v>1057</v>
      </c>
      <c r="M9" s="160" t="s">
        <v>821</v>
      </c>
      <c r="N9" s="160" t="s">
        <v>815</v>
      </c>
      <c r="O9" s="160" t="s">
        <v>1067</v>
      </c>
      <c r="P9" s="160" t="s">
        <v>1059</v>
      </c>
      <c r="Q9" s="160" t="s">
        <v>799</v>
      </c>
      <c r="R9" s="162" t="s">
        <v>1152</v>
      </c>
      <c r="S9" s="160" t="s">
        <v>1069</v>
      </c>
      <c r="T9" s="160" t="s">
        <v>1087</v>
      </c>
      <c r="U9" s="160" t="s">
        <v>1087</v>
      </c>
      <c r="V9" s="160" t="s">
        <v>1057</v>
      </c>
    </row>
    <row r="10" spans="2:22" ht="11.25">
      <c r="B10" s="161" t="s">
        <v>1057</v>
      </c>
      <c r="C10" s="161">
        <v>1</v>
      </c>
      <c r="D10" s="161" t="s">
        <v>1057</v>
      </c>
      <c r="E10" s="161" t="s">
        <v>1057</v>
      </c>
      <c r="F10" s="161">
        <v>0</v>
      </c>
      <c r="G10" s="161">
        <v>0</v>
      </c>
      <c r="H10" s="161">
        <v>1</v>
      </c>
      <c r="I10" s="161">
        <v>1</v>
      </c>
      <c r="J10" s="161">
        <v>0</v>
      </c>
      <c r="K10" s="161">
        <v>0</v>
      </c>
      <c r="L10" s="160" t="s">
        <v>1057</v>
      </c>
      <c r="M10" s="160" t="s">
        <v>823</v>
      </c>
      <c r="N10" s="160" t="s">
        <v>822</v>
      </c>
      <c r="O10" s="160" t="s">
        <v>1067</v>
      </c>
      <c r="P10" s="160" t="s">
        <v>1059</v>
      </c>
      <c r="Q10" s="160" t="str">
        <f>CONCATENATE(25+(FLOOR(Data!E25/2,1)*5)," ft.")</f>
        <v>25 ft.</v>
      </c>
      <c r="R10" s="162" t="s">
        <v>1309</v>
      </c>
      <c r="S10" s="160" t="s">
        <v>1069</v>
      </c>
      <c r="T10" s="160" t="s">
        <v>1061</v>
      </c>
      <c r="U10" s="160" t="s">
        <v>801</v>
      </c>
      <c r="V10" s="160" t="s">
        <v>1057</v>
      </c>
    </row>
    <row r="11" spans="2:22" ht="11.25">
      <c r="B11" s="161" t="s">
        <v>1057</v>
      </c>
      <c r="C11" s="161" t="s">
        <v>1057</v>
      </c>
      <c r="D11" s="161">
        <v>6</v>
      </c>
      <c r="E11" s="161" t="s">
        <v>1057</v>
      </c>
      <c r="F11" s="161" t="s">
        <v>1057</v>
      </c>
      <c r="G11" s="161" t="s">
        <v>1057</v>
      </c>
      <c r="H11" s="161" t="s">
        <v>1057</v>
      </c>
      <c r="I11" s="161" t="s">
        <v>1057</v>
      </c>
      <c r="J11" s="161">
        <v>6</v>
      </c>
      <c r="K11" s="161">
        <v>6</v>
      </c>
      <c r="L11" s="160" t="s">
        <v>1057</v>
      </c>
      <c r="M11" s="160" t="s">
        <v>1085</v>
      </c>
      <c r="N11" s="160" t="s">
        <v>822</v>
      </c>
      <c r="O11" s="160" t="s">
        <v>1086</v>
      </c>
      <c r="P11" s="160" t="s">
        <v>1059</v>
      </c>
      <c r="Q11" s="160" t="str">
        <f>CONCATENATE(25+(FLOOR(Data!E25/2,1)*5)," ft.")</f>
        <v>25 ft.</v>
      </c>
      <c r="R11" s="162" t="str">
        <f>CONCATENATE("Targets: ",Data!E25," objects or creatures")</f>
        <v>Targets: 1 objects or creatures</v>
      </c>
      <c r="S11" s="160" t="str">
        <f>CONCATENATE(Data!E25," rnds [D]")</f>
        <v>1 rnds [D]</v>
      </c>
      <c r="T11" s="160" t="s">
        <v>1087</v>
      </c>
      <c r="U11" s="160" t="s">
        <v>801</v>
      </c>
      <c r="V11" s="160" t="s">
        <v>1088</v>
      </c>
    </row>
    <row r="12" spans="2:22" ht="11.25">
      <c r="B12" s="161" t="s">
        <v>1057</v>
      </c>
      <c r="C12" s="161" t="s">
        <v>1057</v>
      </c>
      <c r="D12" s="161" t="s">
        <v>1057</v>
      </c>
      <c r="E12" s="161" t="s">
        <v>1057</v>
      </c>
      <c r="F12" s="161" t="s">
        <v>1057</v>
      </c>
      <c r="G12" s="161">
        <v>5</v>
      </c>
      <c r="H12" s="161" t="s">
        <v>1057</v>
      </c>
      <c r="I12" s="161">
        <v>4</v>
      </c>
      <c r="J12" s="161">
        <v>5</v>
      </c>
      <c r="K12" s="161">
        <v>5</v>
      </c>
      <c r="L12" s="160" t="s">
        <v>1057</v>
      </c>
      <c r="M12" s="160" t="s">
        <v>1089</v>
      </c>
      <c r="N12" s="160" t="s">
        <v>811</v>
      </c>
      <c r="O12" s="160" t="s">
        <v>1067</v>
      </c>
      <c r="P12" s="160" t="s">
        <v>1059</v>
      </c>
      <c r="Q12" s="160" t="str">
        <f>CONCATENATE(100+(10*Data!E25)," ft.")</f>
        <v>110 ft.</v>
      </c>
      <c r="R12" s="162" t="str">
        <f>CONCATENATE("Targets: Up to ",FLOOR(Data!E25/2,1)," animals (Gargantuan or smaller) within 30 ft. of each other")</f>
        <v>Targets: Up to 0 animals (Gargantuan or smaller) within 30 ft. of each other</v>
      </c>
      <c r="S12" s="160" t="str">
        <f>CONCATENATE(Data!E25," min.")</f>
        <v>1 min.</v>
      </c>
      <c r="T12" s="160" t="s">
        <v>1090</v>
      </c>
      <c r="U12" s="160" t="s">
        <v>805</v>
      </c>
      <c r="V12" s="160" t="s">
        <v>1057</v>
      </c>
    </row>
    <row r="13" spans="2:22" ht="11.25">
      <c r="B13" s="161" t="s">
        <v>1057</v>
      </c>
      <c r="C13" s="161" t="s">
        <v>1057</v>
      </c>
      <c r="D13" s="161">
        <v>2</v>
      </c>
      <c r="E13" s="161" t="s">
        <v>1057</v>
      </c>
      <c r="F13" s="161" t="s">
        <v>1057</v>
      </c>
      <c r="G13" s="161">
        <v>2</v>
      </c>
      <c r="H13" s="161" t="s">
        <v>1057</v>
      </c>
      <c r="I13" s="161">
        <v>1</v>
      </c>
      <c r="J13" s="161" t="s">
        <v>1057</v>
      </c>
      <c r="K13" s="161" t="s">
        <v>1057</v>
      </c>
      <c r="L13" s="160" t="s">
        <v>1057</v>
      </c>
      <c r="M13" s="160" t="s">
        <v>854</v>
      </c>
      <c r="N13" s="160" t="s">
        <v>804</v>
      </c>
      <c r="O13" s="160" t="s">
        <v>1091</v>
      </c>
      <c r="P13" s="160" t="s">
        <v>1059</v>
      </c>
      <c r="Q13" s="160" t="str">
        <f>CONCATENATE(25+(FLOOR(Data!E25/2,1)*5)," ft.")</f>
        <v>25 ft.</v>
      </c>
      <c r="R13" s="162" t="s">
        <v>1092</v>
      </c>
      <c r="S13" s="160" t="str">
        <f>CONCATENATE(Data!E25," days")</f>
        <v>1 days</v>
      </c>
      <c r="T13" s="160" t="s">
        <v>1087</v>
      </c>
      <c r="U13" s="160" t="s">
        <v>805</v>
      </c>
      <c r="V13" s="160" t="s">
        <v>1057</v>
      </c>
    </row>
    <row r="14" spans="2:22" ht="11.25">
      <c r="B14" s="161" t="s">
        <v>1057</v>
      </c>
      <c r="C14" s="161" t="s">
        <v>1057</v>
      </c>
      <c r="D14" s="161" t="s">
        <v>1057</v>
      </c>
      <c r="E14" s="161" t="s">
        <v>1057</v>
      </c>
      <c r="F14" s="161" t="s">
        <v>1057</v>
      </c>
      <c r="G14" s="161">
        <v>8</v>
      </c>
      <c r="H14" s="161" t="s">
        <v>1057</v>
      </c>
      <c r="I14" s="161" t="s">
        <v>1057</v>
      </c>
      <c r="J14" s="161" t="s">
        <v>1057</v>
      </c>
      <c r="K14" s="161" t="s">
        <v>1057</v>
      </c>
      <c r="L14" s="160" t="s">
        <v>1094</v>
      </c>
      <c r="M14" s="160" t="s">
        <v>1093</v>
      </c>
      <c r="N14" s="160" t="s">
        <v>811</v>
      </c>
      <c r="O14" s="160" t="s">
        <v>1071</v>
      </c>
      <c r="P14" s="160" t="s">
        <v>1059</v>
      </c>
      <c r="Q14" s="160" t="str">
        <f>CONCATENATE(25+(FLOOR(Data!E25/2,1)*5)," ft.")</f>
        <v>25 ft.</v>
      </c>
      <c r="R14" s="162" t="str">
        <f>CONCATENATE("Targets: Up to ",Data!E25," willing creatures within 30 ft. of each other")</f>
        <v>Targets: Up to 1 willing creatures within 30 ft. of each other</v>
      </c>
      <c r="S14" s="160" t="str">
        <f>CONCATENATE(Data!E25," hours [D]")</f>
        <v>1 hours [D]</v>
      </c>
      <c r="T14" s="160" t="s">
        <v>1087</v>
      </c>
      <c r="U14" s="160" t="s">
        <v>1073</v>
      </c>
      <c r="V14" s="160" t="s">
        <v>1057</v>
      </c>
    </row>
    <row r="15" spans="2:22" ht="11.25">
      <c r="B15" s="161">
        <v>2</v>
      </c>
      <c r="C15" s="161" t="s">
        <v>1057</v>
      </c>
      <c r="D15" s="161">
        <v>2</v>
      </c>
      <c r="E15" s="161" t="s">
        <v>1057</v>
      </c>
      <c r="F15" s="161" t="s">
        <v>1057</v>
      </c>
      <c r="G15" s="161">
        <v>2</v>
      </c>
      <c r="H15" s="161" t="s">
        <v>1057</v>
      </c>
      <c r="I15" s="161" t="s">
        <v>1057</v>
      </c>
      <c r="J15" s="161" t="s">
        <v>1057</v>
      </c>
      <c r="K15" s="161" t="s">
        <v>1057</v>
      </c>
      <c r="L15" s="160" t="s">
        <v>1057</v>
      </c>
      <c r="M15" s="160" t="s">
        <v>1095</v>
      </c>
      <c r="N15" s="160" t="s">
        <v>804</v>
      </c>
      <c r="O15" s="160" t="s">
        <v>1067</v>
      </c>
      <c r="P15" s="160" t="s">
        <v>1059</v>
      </c>
      <c r="Q15" s="160" t="str">
        <f>CONCATENATE(25+(FLOOR(Data!E25/2,1)*5)," ft.")</f>
        <v>25 ft.</v>
      </c>
      <c r="R15" s="162" t="s">
        <v>1096</v>
      </c>
      <c r="S15" s="160" t="s">
        <v>1097</v>
      </c>
      <c r="T15" s="160" t="s">
        <v>1087</v>
      </c>
      <c r="U15" s="160" t="s">
        <v>805</v>
      </c>
      <c r="V15" s="160" t="s">
        <v>1057</v>
      </c>
    </row>
    <row r="16" spans="2:22" ht="11.25">
      <c r="B16" s="161">
        <v>3</v>
      </c>
      <c r="C16" s="161" t="s">
        <v>1057</v>
      </c>
      <c r="D16" s="161" t="s">
        <v>1057</v>
      </c>
      <c r="E16" s="161" t="s">
        <v>1057</v>
      </c>
      <c r="F16" s="161">
        <v>3</v>
      </c>
      <c r="G16" s="161" t="s">
        <v>1057</v>
      </c>
      <c r="H16" s="161" t="s">
        <v>1057</v>
      </c>
      <c r="I16" s="161" t="s">
        <v>1057</v>
      </c>
      <c r="J16" s="161">
        <v>4</v>
      </c>
      <c r="K16" s="161">
        <v>4</v>
      </c>
      <c r="L16" s="160" t="s">
        <v>1098</v>
      </c>
      <c r="M16" s="160" t="s">
        <v>880</v>
      </c>
      <c r="N16" s="160" t="s">
        <v>826</v>
      </c>
      <c r="O16" s="160" t="s">
        <v>1091</v>
      </c>
      <c r="P16" s="160" t="s">
        <v>1059</v>
      </c>
      <c r="Q16" s="160" t="s">
        <v>799</v>
      </c>
      <c r="R16" s="162" t="s">
        <v>1099</v>
      </c>
      <c r="S16" s="160" t="s">
        <v>1069</v>
      </c>
      <c r="T16" s="160" t="s">
        <v>1061</v>
      </c>
      <c r="U16" s="160" t="s">
        <v>801</v>
      </c>
      <c r="V16" s="160" t="s">
        <v>1057</v>
      </c>
    </row>
    <row r="17" spans="2:22" ht="11.25">
      <c r="B17" s="161" t="s">
        <v>1057</v>
      </c>
      <c r="C17" s="161" t="s">
        <v>1057</v>
      </c>
      <c r="D17" s="161">
        <v>6</v>
      </c>
      <c r="E17" s="161" t="s">
        <v>1057</v>
      </c>
      <c r="F17" s="161">
        <v>6</v>
      </c>
      <c r="G17" s="161" t="s">
        <v>1057</v>
      </c>
      <c r="H17" s="161" t="s">
        <v>1057</v>
      </c>
      <c r="I17" s="161" t="s">
        <v>1057</v>
      </c>
      <c r="J17" s="161" t="s">
        <v>1057</v>
      </c>
      <c r="K17" s="161" t="s">
        <v>1057</v>
      </c>
      <c r="L17" s="160" t="s">
        <v>1101</v>
      </c>
      <c r="M17" s="160" t="s">
        <v>1100</v>
      </c>
      <c r="N17" s="160" t="s">
        <v>811</v>
      </c>
      <c r="O17" s="160" t="s">
        <v>1067</v>
      </c>
      <c r="P17" s="160" t="s">
        <v>1059</v>
      </c>
      <c r="Q17" s="160" t="str">
        <f>CONCATENATE(100+(10*Data!E25)," ft.")</f>
        <v>110 ft.</v>
      </c>
      <c r="R17" s="162" t="str">
        <f>CONCATENATE("Targets: ",Data!E25," Small objects; see text")</f>
        <v>Targets: 1 Small objects; see text</v>
      </c>
      <c r="S17" s="160" t="str">
        <f>CONCATENATE(Data!E25," rnds")</f>
        <v>1 rnds</v>
      </c>
      <c r="T17" s="160" t="s">
        <v>1061</v>
      </c>
      <c r="U17" s="160" t="s">
        <v>801</v>
      </c>
      <c r="V17" s="160" t="s">
        <v>1057</v>
      </c>
    </row>
    <row r="18" spans="2:22" ht="11.25">
      <c r="B18" s="161" t="s">
        <v>1057</v>
      </c>
      <c r="C18" s="161" t="s">
        <v>1057</v>
      </c>
      <c r="D18" s="161" t="s">
        <v>1057</v>
      </c>
      <c r="E18" s="161" t="s">
        <v>1057</v>
      </c>
      <c r="F18" s="161" t="s">
        <v>1057</v>
      </c>
      <c r="G18" s="161">
        <v>7</v>
      </c>
      <c r="H18" s="161" t="s">
        <v>1057</v>
      </c>
      <c r="I18" s="161" t="s">
        <v>1057</v>
      </c>
      <c r="J18" s="161" t="s">
        <v>1057</v>
      </c>
      <c r="K18" s="161" t="s">
        <v>1057</v>
      </c>
      <c r="L18" s="160" t="s">
        <v>1103</v>
      </c>
      <c r="M18" s="160" t="s">
        <v>1102</v>
      </c>
      <c r="N18" s="160" t="s">
        <v>811</v>
      </c>
      <c r="O18" s="160" t="s">
        <v>1104</v>
      </c>
      <c r="P18" s="160" t="s">
        <v>1059</v>
      </c>
      <c r="Q18" s="160" t="str">
        <f>CONCATENATE(25+(FLOOR(Data!E25/2,1)*5)," ft.")</f>
        <v>25 ft.</v>
      </c>
      <c r="R18" s="162" t="str">
        <f>CONCATENATE("Targets: ",FLOOR(Data!E25/3,1)," Large plants or all plants within range; see text")</f>
        <v>Targets: 0 Large plants or all plants within range; see text</v>
      </c>
      <c r="S18" s="160" t="s">
        <v>1087</v>
      </c>
      <c r="T18" s="160" t="s">
        <v>1061</v>
      </c>
      <c r="U18" s="160" t="s">
        <v>801</v>
      </c>
      <c r="V18" s="160" t="s">
        <v>1057</v>
      </c>
    </row>
    <row r="19" spans="2:22" ht="11.25">
      <c r="B19" s="161">
        <v>0</v>
      </c>
      <c r="C19" s="161" t="s">
        <v>1057</v>
      </c>
      <c r="D19" s="161">
        <v>0</v>
      </c>
      <c r="E19" s="161" t="s">
        <v>1057</v>
      </c>
      <c r="F19" s="161">
        <v>0</v>
      </c>
      <c r="G19" s="161">
        <v>0</v>
      </c>
      <c r="H19" s="161" t="s">
        <v>1057</v>
      </c>
      <c r="I19" s="161" t="s">
        <v>1057</v>
      </c>
      <c r="J19" s="161">
        <v>0</v>
      </c>
      <c r="K19" s="161">
        <v>0</v>
      </c>
      <c r="L19" s="160" t="s">
        <v>1057</v>
      </c>
      <c r="M19" s="160" t="s">
        <v>645</v>
      </c>
      <c r="N19" s="160" t="s">
        <v>1162</v>
      </c>
      <c r="O19" s="160" t="s">
        <v>1289</v>
      </c>
      <c r="P19" s="160" t="s">
        <v>1059</v>
      </c>
      <c r="Q19" s="160" t="s">
        <v>799</v>
      </c>
      <c r="R19" s="162" t="s">
        <v>1290</v>
      </c>
      <c r="S19" s="160" t="str">
        <f>CONCATENATE(Data!E25*10," min. [D]")</f>
        <v>10 min. [D]</v>
      </c>
      <c r="T19" s="160" t="s">
        <v>1061</v>
      </c>
      <c r="U19" s="160" t="s">
        <v>801</v>
      </c>
      <c r="V19" s="160" t="s">
        <v>1057</v>
      </c>
    </row>
    <row r="20" spans="2:22" ht="11.25">
      <c r="B20" s="161" t="s">
        <v>1057</v>
      </c>
      <c r="C20" s="161" t="s">
        <v>1057</v>
      </c>
      <c r="D20" s="161" t="s">
        <v>1057</v>
      </c>
      <c r="E20" s="161" t="s">
        <v>1057</v>
      </c>
      <c r="F20" s="161">
        <v>6</v>
      </c>
      <c r="G20" s="161">
        <v>6</v>
      </c>
      <c r="H20" s="161" t="s">
        <v>1057</v>
      </c>
      <c r="I20" s="161" t="s">
        <v>1057</v>
      </c>
      <c r="J20" s="161" t="s">
        <v>1057</v>
      </c>
      <c r="K20" s="161" t="s">
        <v>1057</v>
      </c>
      <c r="L20" s="160" t="s">
        <v>1107</v>
      </c>
      <c r="M20" s="160" t="s">
        <v>1106</v>
      </c>
      <c r="N20" s="160" t="s">
        <v>845</v>
      </c>
      <c r="O20" s="160" t="s">
        <v>1071</v>
      </c>
      <c r="P20" s="160" t="s">
        <v>1108</v>
      </c>
      <c r="Q20" s="160" t="s">
        <v>1109</v>
      </c>
      <c r="R20" s="162" t="s">
        <v>1110</v>
      </c>
      <c r="S20" s="160" t="str">
        <f>CONCATENATE(Data!E25*10," min. [D]")</f>
        <v>10 min. [D]</v>
      </c>
      <c r="T20" s="160" t="s">
        <v>1061</v>
      </c>
      <c r="U20" s="160" t="s">
        <v>805</v>
      </c>
      <c r="V20" s="160" t="s">
        <v>1057</v>
      </c>
    </row>
    <row r="21" spans="2:22" ht="11.25">
      <c r="B21" s="161" t="s">
        <v>1057</v>
      </c>
      <c r="C21" s="161" t="s">
        <v>1057</v>
      </c>
      <c r="D21" s="161" t="s">
        <v>1057</v>
      </c>
      <c r="E21" s="161" t="s">
        <v>1057</v>
      </c>
      <c r="F21" s="161">
        <v>8</v>
      </c>
      <c r="G21" s="161" t="s">
        <v>1057</v>
      </c>
      <c r="H21" s="161" t="s">
        <v>1057</v>
      </c>
      <c r="I21" s="161" t="s">
        <v>1057</v>
      </c>
      <c r="J21" s="161">
        <v>6</v>
      </c>
      <c r="K21" s="161">
        <v>6</v>
      </c>
      <c r="L21" s="160" t="s">
        <v>1112</v>
      </c>
      <c r="M21" s="160" t="s">
        <v>1111</v>
      </c>
      <c r="N21" s="160" t="s">
        <v>845</v>
      </c>
      <c r="O21" s="160" t="s">
        <v>1064</v>
      </c>
      <c r="P21" s="160" t="s">
        <v>1059</v>
      </c>
      <c r="Q21" s="160" t="s">
        <v>1109</v>
      </c>
      <c r="R21" s="162" t="s">
        <v>1110</v>
      </c>
      <c r="S21" s="160" t="str">
        <f>CONCATENATE(Data!E25*10," min. [D]")</f>
        <v>10 min. [D]</v>
      </c>
      <c r="T21" s="160" t="s">
        <v>1061</v>
      </c>
      <c r="U21" s="160" t="s">
        <v>1087</v>
      </c>
      <c r="V21" s="160" t="s">
        <v>1057</v>
      </c>
    </row>
    <row r="22" spans="2:22" ht="11.25">
      <c r="B22" s="161" t="s">
        <v>1057</v>
      </c>
      <c r="C22" s="161" t="s">
        <v>1057</v>
      </c>
      <c r="D22" s="161" t="s">
        <v>1057</v>
      </c>
      <c r="E22" s="161" t="s">
        <v>1057</v>
      </c>
      <c r="F22" s="161" t="s">
        <v>1057</v>
      </c>
      <c r="G22" s="161">
        <v>9</v>
      </c>
      <c r="H22" s="161" t="s">
        <v>1057</v>
      </c>
      <c r="I22" s="161" t="s">
        <v>1057</v>
      </c>
      <c r="J22" s="161">
        <v>8</v>
      </c>
      <c r="K22" s="161">
        <v>8</v>
      </c>
      <c r="L22" s="160" t="s">
        <v>1057</v>
      </c>
      <c r="M22" s="160" t="s">
        <v>1113</v>
      </c>
      <c r="N22" s="160" t="s">
        <v>804</v>
      </c>
      <c r="O22" s="160" t="s">
        <v>1064</v>
      </c>
      <c r="P22" s="160" t="s">
        <v>1114</v>
      </c>
      <c r="Q22" s="160" t="str">
        <f>CONCATENATE(25+(FLOOR(Data!E25/2,1)*5)," ft.")</f>
        <v>25 ft.</v>
      </c>
      <c r="R22" s="162" t="str">
        <f>CONCATENATE("Target: One location of up to a ",Data!E25*10," ft. cube or one object")</f>
        <v>Target: One location of up to a 10 ft. cube or one object</v>
      </c>
      <c r="S22" s="160" t="str">
        <f>CONCATENATE(Data!E25*2," hours [D]")</f>
        <v>2 hours [D]</v>
      </c>
      <c r="T22" s="160" t="s">
        <v>1115</v>
      </c>
      <c r="U22" s="160" t="s">
        <v>805</v>
      </c>
      <c r="V22" s="160" t="s">
        <v>1057</v>
      </c>
    </row>
    <row r="23" spans="2:22" ht="11.25">
      <c r="B23" s="161" t="s">
        <v>1057</v>
      </c>
      <c r="C23" s="161" t="s">
        <v>1057</v>
      </c>
      <c r="D23" s="161" t="s">
        <v>1057</v>
      </c>
      <c r="E23" s="161" t="s">
        <v>1057</v>
      </c>
      <c r="F23" s="161" t="s">
        <v>1057</v>
      </c>
      <c r="G23" s="161">
        <v>4</v>
      </c>
      <c r="H23" s="161" t="s">
        <v>1057</v>
      </c>
      <c r="I23" s="161" t="s">
        <v>1057</v>
      </c>
      <c r="J23" s="161" t="s">
        <v>1057</v>
      </c>
      <c r="K23" s="161" t="s">
        <v>1057</v>
      </c>
      <c r="L23" s="160" t="s">
        <v>1057</v>
      </c>
      <c r="M23" s="160" t="s">
        <v>1116</v>
      </c>
      <c r="N23" s="160" t="s">
        <v>845</v>
      </c>
      <c r="O23" s="160" t="s">
        <v>1071</v>
      </c>
      <c r="P23" s="160" t="s">
        <v>1059</v>
      </c>
      <c r="Q23" s="160" t="s">
        <v>1109</v>
      </c>
      <c r="R23" s="162" t="s">
        <v>1110</v>
      </c>
      <c r="S23" s="160" t="str">
        <f>CONCATENATE(Data!E25*10," min. [D]")</f>
        <v>10 min. [D]</v>
      </c>
      <c r="T23" s="160" t="s">
        <v>1061</v>
      </c>
      <c r="U23" s="160" t="s">
        <v>805</v>
      </c>
      <c r="V23" s="160" t="s">
        <v>1057</v>
      </c>
    </row>
    <row r="24" spans="2:22" ht="11.25">
      <c r="B24" s="161" t="s">
        <v>1057</v>
      </c>
      <c r="C24" s="161" t="s">
        <v>1057</v>
      </c>
      <c r="D24" s="161" t="s">
        <v>1057</v>
      </c>
      <c r="E24" s="161" t="s">
        <v>1057</v>
      </c>
      <c r="F24" s="161" t="s">
        <v>1057</v>
      </c>
      <c r="G24" s="161" t="s">
        <v>1057</v>
      </c>
      <c r="H24" s="161" t="s">
        <v>1057</v>
      </c>
      <c r="I24" s="161" t="s">
        <v>1057</v>
      </c>
      <c r="J24" s="161">
        <v>4</v>
      </c>
      <c r="K24" s="161">
        <v>4</v>
      </c>
      <c r="L24" s="160" t="s">
        <v>1057</v>
      </c>
      <c r="M24" s="160" t="s">
        <v>1117</v>
      </c>
      <c r="N24" s="160" t="s">
        <v>822</v>
      </c>
      <c r="O24" s="160" t="s">
        <v>1091</v>
      </c>
      <c r="P24" s="160" t="s">
        <v>1118</v>
      </c>
      <c r="Q24" s="160" t="s">
        <v>1119</v>
      </c>
      <c r="R24" s="162" t="s">
        <v>1120</v>
      </c>
      <c r="S24" s="160" t="str">
        <f>CONCATENATE(Data!E25," min. [D]")</f>
        <v>1 min. [D]</v>
      </c>
      <c r="T24" s="160" t="s">
        <v>1061</v>
      </c>
      <c r="U24" s="160" t="s">
        <v>801</v>
      </c>
      <c r="V24" s="160" t="s">
        <v>1057</v>
      </c>
    </row>
    <row r="25" spans="2:22" ht="11.25">
      <c r="B25" s="161">
        <v>0</v>
      </c>
      <c r="C25" s="161" t="s">
        <v>1057</v>
      </c>
      <c r="D25" s="161">
        <v>0</v>
      </c>
      <c r="E25" s="161" t="s">
        <v>1057</v>
      </c>
      <c r="F25" s="161">
        <v>0</v>
      </c>
      <c r="G25" s="161">
        <v>0</v>
      </c>
      <c r="H25" s="161" t="s">
        <v>1057</v>
      </c>
      <c r="I25" s="161" t="s">
        <v>1057</v>
      </c>
      <c r="J25" s="161">
        <v>0</v>
      </c>
      <c r="K25" s="161">
        <v>0</v>
      </c>
      <c r="L25" s="160" t="s">
        <v>1057</v>
      </c>
      <c r="M25" s="160" t="s">
        <v>810</v>
      </c>
      <c r="N25" s="160" t="s">
        <v>811</v>
      </c>
      <c r="O25" s="160" t="s">
        <v>1067</v>
      </c>
      <c r="P25" s="160" t="s">
        <v>1059</v>
      </c>
      <c r="Q25" s="160" t="s">
        <v>1109</v>
      </c>
      <c r="R25" s="162" t="s">
        <v>184</v>
      </c>
      <c r="S25" s="160" t="s">
        <v>1069</v>
      </c>
      <c r="T25" s="160" t="s">
        <v>1081</v>
      </c>
      <c r="U25" s="160" t="s">
        <v>1082</v>
      </c>
      <c r="V25" s="160" t="s">
        <v>1057</v>
      </c>
    </row>
    <row r="26" spans="2:22" ht="11.25">
      <c r="B26" s="161">
        <v>0</v>
      </c>
      <c r="C26" s="161" t="s">
        <v>1057</v>
      </c>
      <c r="D26" s="161">
        <v>0</v>
      </c>
      <c r="E26" s="161" t="s">
        <v>1057</v>
      </c>
      <c r="F26" s="161">
        <v>0</v>
      </c>
      <c r="G26" s="161">
        <v>0</v>
      </c>
      <c r="H26" s="161">
        <v>1</v>
      </c>
      <c r="I26" s="161">
        <v>1</v>
      </c>
      <c r="J26" s="161">
        <v>0</v>
      </c>
      <c r="K26" s="161">
        <v>0</v>
      </c>
      <c r="L26" s="160" t="s">
        <v>1057</v>
      </c>
      <c r="M26" s="160" t="s">
        <v>816</v>
      </c>
      <c r="N26" s="160" t="s">
        <v>822</v>
      </c>
      <c r="O26" s="160" t="s">
        <v>1086</v>
      </c>
      <c r="P26" s="160" t="s">
        <v>1059</v>
      </c>
      <c r="Q26" s="160" t="s">
        <v>817</v>
      </c>
      <c r="R26" s="162" t="s">
        <v>1084</v>
      </c>
      <c r="S26" s="160" t="str">
        <f>CONCATENATE(Data!E25*10," min.")</f>
        <v>10 min.</v>
      </c>
      <c r="T26" s="160" t="s">
        <v>1061</v>
      </c>
      <c r="U26" s="160" t="s">
        <v>801</v>
      </c>
      <c r="V26" s="160" t="s">
        <v>1057</v>
      </c>
    </row>
    <row r="27" spans="2:22" ht="11.25">
      <c r="B27" s="161" t="s">
        <v>1057</v>
      </c>
      <c r="C27" s="161" t="s">
        <v>1057</v>
      </c>
      <c r="D27" s="161" t="s">
        <v>1057</v>
      </c>
      <c r="E27" s="161" t="s">
        <v>1057</v>
      </c>
      <c r="F27" s="161" t="s">
        <v>1057</v>
      </c>
      <c r="G27" s="161" t="s">
        <v>1057</v>
      </c>
      <c r="H27" s="161" t="s">
        <v>1057</v>
      </c>
      <c r="I27" s="161" t="s">
        <v>1057</v>
      </c>
      <c r="J27" s="161">
        <v>3</v>
      </c>
      <c r="K27" s="161">
        <v>3</v>
      </c>
      <c r="L27" s="160" t="s">
        <v>1057</v>
      </c>
      <c r="M27" s="160" t="s">
        <v>1126</v>
      </c>
      <c r="N27" s="160" t="s">
        <v>822</v>
      </c>
      <c r="O27" s="160" t="s">
        <v>1067</v>
      </c>
      <c r="P27" s="160" t="s">
        <v>1059</v>
      </c>
      <c r="Q27" s="160" t="s">
        <v>817</v>
      </c>
      <c r="R27" s="162" t="s">
        <v>1084</v>
      </c>
      <c r="S27" s="160" t="str">
        <f>CONCATENATE(Data!E25," min. [D]")</f>
        <v>1 min. [D]</v>
      </c>
      <c r="T27" s="160" t="s">
        <v>1061</v>
      </c>
      <c r="U27" s="160" t="s">
        <v>801</v>
      </c>
      <c r="V27" s="160" t="s">
        <v>1057</v>
      </c>
    </row>
    <row r="28" spans="2:22" ht="11.25">
      <c r="B28" s="161" t="s">
        <v>1057</v>
      </c>
      <c r="C28" s="161" t="s">
        <v>1057</v>
      </c>
      <c r="D28" s="161" t="s">
        <v>1057</v>
      </c>
      <c r="E28" s="161" t="s">
        <v>1057</v>
      </c>
      <c r="F28" s="161" t="s">
        <v>1057</v>
      </c>
      <c r="G28" s="161" t="s">
        <v>1057</v>
      </c>
      <c r="H28" s="161" t="s">
        <v>1057</v>
      </c>
      <c r="I28" s="161" t="s">
        <v>1057</v>
      </c>
      <c r="J28" s="161">
        <v>7</v>
      </c>
      <c r="K28" s="161">
        <v>7</v>
      </c>
      <c r="L28" s="160" t="s">
        <v>1057</v>
      </c>
      <c r="M28" s="160" t="s">
        <v>1127</v>
      </c>
      <c r="N28" s="160" t="s">
        <v>822</v>
      </c>
      <c r="O28" s="160" t="s">
        <v>1067</v>
      </c>
      <c r="P28" s="160" t="s">
        <v>1059</v>
      </c>
      <c r="Q28" s="160" t="s">
        <v>817</v>
      </c>
      <c r="R28" s="162" t="s">
        <v>1084</v>
      </c>
      <c r="S28" s="160" t="str">
        <f>CONCATENATE(Data!E25," min. [D]")</f>
        <v>1 min. [D]</v>
      </c>
      <c r="T28" s="160" t="s">
        <v>1061</v>
      </c>
      <c r="U28" s="160" t="s">
        <v>801</v>
      </c>
      <c r="V28" s="160" t="s">
        <v>1057</v>
      </c>
    </row>
    <row r="29" spans="2:22" ht="11.25">
      <c r="B29" s="161" t="s">
        <v>1057</v>
      </c>
      <c r="C29" s="161" t="s">
        <v>1057</v>
      </c>
      <c r="D29" s="161" t="s">
        <v>1057</v>
      </c>
      <c r="E29" s="161" t="s">
        <v>1057</v>
      </c>
      <c r="F29" s="161">
        <v>9</v>
      </c>
      <c r="G29" s="161" t="s">
        <v>1057</v>
      </c>
      <c r="H29" s="161" t="s">
        <v>1057</v>
      </c>
      <c r="I29" s="161" t="s">
        <v>1057</v>
      </c>
      <c r="J29" s="161">
        <v>9</v>
      </c>
      <c r="K29" s="161">
        <v>9</v>
      </c>
      <c r="L29" s="160" t="s">
        <v>1129</v>
      </c>
      <c r="M29" s="160" t="s">
        <v>1128</v>
      </c>
      <c r="N29" s="160" t="s">
        <v>826</v>
      </c>
      <c r="O29" s="160" t="s">
        <v>1091</v>
      </c>
      <c r="P29" s="160" t="s">
        <v>1130</v>
      </c>
      <c r="Q29" s="160" t="s">
        <v>799</v>
      </c>
      <c r="R29" s="162" t="str">
        <f>CONCATENATE("Targets: You and ",FLOOR(Data!E25/2,1)," willing creatures touched")</f>
        <v>Targets: You and 0 willing creatures touched</v>
      </c>
      <c r="S29" s="160" t="s">
        <v>1087</v>
      </c>
      <c r="T29" s="160" t="s">
        <v>1061</v>
      </c>
      <c r="U29" s="160" t="s">
        <v>805</v>
      </c>
      <c r="V29" s="160" t="s">
        <v>1131</v>
      </c>
    </row>
    <row r="30" spans="2:22" ht="11.25">
      <c r="B30" s="161" t="s">
        <v>1057</v>
      </c>
      <c r="C30" s="161" t="s">
        <v>1057</v>
      </c>
      <c r="D30" s="161" t="s">
        <v>1057</v>
      </c>
      <c r="E30" s="161" t="s">
        <v>1057</v>
      </c>
      <c r="F30" s="161">
        <v>5</v>
      </c>
      <c r="G30" s="161">
        <v>5</v>
      </c>
      <c r="H30" s="161" t="s">
        <v>1057</v>
      </c>
      <c r="I30" s="161" t="s">
        <v>1057</v>
      </c>
      <c r="J30" s="161" t="s">
        <v>1057</v>
      </c>
      <c r="K30" s="161" t="s">
        <v>1057</v>
      </c>
      <c r="L30" s="160" t="s">
        <v>1057</v>
      </c>
      <c r="M30" s="160" t="s">
        <v>1132</v>
      </c>
      <c r="N30" s="160" t="s">
        <v>845</v>
      </c>
      <c r="O30" s="160" t="s">
        <v>1133</v>
      </c>
      <c r="P30" s="160" t="s">
        <v>1114</v>
      </c>
      <c r="Q30" s="160" t="s">
        <v>799</v>
      </c>
      <c r="R30" s="162" t="s">
        <v>1072</v>
      </c>
      <c r="S30" s="160" t="s">
        <v>1069</v>
      </c>
      <c r="T30" s="160" t="s">
        <v>1061</v>
      </c>
      <c r="U30" s="160" t="s">
        <v>805</v>
      </c>
      <c r="V30" s="160" t="s">
        <v>1134</v>
      </c>
    </row>
    <row r="31" spans="2:22" ht="11.25">
      <c r="B31" s="161" t="s">
        <v>1057</v>
      </c>
      <c r="C31" s="161" t="s">
        <v>1057</v>
      </c>
      <c r="D31" s="161">
        <v>0</v>
      </c>
      <c r="E31" s="161" t="s">
        <v>1057</v>
      </c>
      <c r="F31" s="161">
        <v>0</v>
      </c>
      <c r="G31" s="161">
        <v>0</v>
      </c>
      <c r="H31" s="161">
        <v>1</v>
      </c>
      <c r="I31" s="161" t="s">
        <v>1057</v>
      </c>
      <c r="J31" s="161">
        <v>0</v>
      </c>
      <c r="K31" s="161">
        <v>0</v>
      </c>
      <c r="L31" s="160" t="s">
        <v>1057</v>
      </c>
      <c r="M31" s="160" t="s">
        <v>818</v>
      </c>
      <c r="N31" s="160" t="s">
        <v>845</v>
      </c>
      <c r="O31" s="160" t="s">
        <v>1064</v>
      </c>
      <c r="P31" s="160" t="s">
        <v>1059</v>
      </c>
      <c r="Q31" s="160" t="s">
        <v>799</v>
      </c>
      <c r="R31" s="162" t="s">
        <v>1152</v>
      </c>
      <c r="S31" s="160" t="str">
        <f>CONCATENATE(Data!E25," min.")</f>
        <v>1 min.</v>
      </c>
      <c r="T31" s="160" t="s">
        <v>1153</v>
      </c>
      <c r="U31" s="160" t="s">
        <v>1073</v>
      </c>
      <c r="V31" s="160" t="s">
        <v>1057</v>
      </c>
    </row>
    <row r="32" spans="2:22" ht="11.25">
      <c r="B32" s="161" t="s">
        <v>1057</v>
      </c>
      <c r="C32" s="161" t="s">
        <v>1057</v>
      </c>
      <c r="D32" s="161" t="s">
        <v>1057</v>
      </c>
      <c r="E32" s="161" t="s">
        <v>1057</v>
      </c>
      <c r="F32" s="161" t="s">
        <v>1057</v>
      </c>
      <c r="G32" s="161">
        <v>5</v>
      </c>
      <c r="H32" s="161" t="s">
        <v>1057</v>
      </c>
      <c r="I32" s="161" t="s">
        <v>1057</v>
      </c>
      <c r="J32" s="161" t="s">
        <v>1057</v>
      </c>
      <c r="K32" s="161" t="s">
        <v>1057</v>
      </c>
      <c r="L32" s="160" t="s">
        <v>1057</v>
      </c>
      <c r="M32" s="160" t="s">
        <v>1137</v>
      </c>
      <c r="N32" s="160" t="s">
        <v>811</v>
      </c>
      <c r="O32" s="160" t="s">
        <v>1138</v>
      </c>
      <c r="P32" s="160" t="s">
        <v>1139</v>
      </c>
      <c r="Q32" s="160" t="s">
        <v>799</v>
      </c>
      <c r="R32" s="162" t="s">
        <v>1140</v>
      </c>
      <c r="S32" s="160" t="s">
        <v>1069</v>
      </c>
      <c r="T32" s="160" t="s">
        <v>1141</v>
      </c>
      <c r="U32" s="160" t="s">
        <v>805</v>
      </c>
      <c r="V32" s="160" t="s">
        <v>1142</v>
      </c>
    </row>
    <row r="33" spans="2:22" ht="11.25">
      <c r="B33" s="161">
        <v>5</v>
      </c>
      <c r="C33" s="161" t="s">
        <v>1057</v>
      </c>
      <c r="D33" s="161" t="s">
        <v>1057</v>
      </c>
      <c r="E33" s="161" t="s">
        <v>1057</v>
      </c>
      <c r="F33" s="161" t="s">
        <v>1057</v>
      </c>
      <c r="G33" s="161">
        <v>5</v>
      </c>
      <c r="H33" s="161" t="s">
        <v>1057</v>
      </c>
      <c r="I33" s="161" t="s">
        <v>1057</v>
      </c>
      <c r="J33" s="161">
        <v>5</v>
      </c>
      <c r="K33" s="161">
        <v>5</v>
      </c>
      <c r="L33" s="160" t="s">
        <v>1057</v>
      </c>
      <c r="M33" s="160" t="s">
        <v>1143</v>
      </c>
      <c r="N33" s="160" t="s">
        <v>811</v>
      </c>
      <c r="O33" s="160" t="s">
        <v>1067</v>
      </c>
      <c r="P33" s="160" t="s">
        <v>1059</v>
      </c>
      <c r="Q33" s="160" t="str">
        <f>CONCATENATE(25+(FLOOR(Data!E25/2,1)*5)," ft.")</f>
        <v>25 ft.</v>
      </c>
      <c r="R33" s="162" t="s">
        <v>1144</v>
      </c>
      <c r="S33" s="160" t="s">
        <v>800</v>
      </c>
      <c r="T33" s="160" t="s">
        <v>1087</v>
      </c>
      <c r="U33" s="160" t="s">
        <v>805</v>
      </c>
      <c r="V33" s="160" t="s">
        <v>1057</v>
      </c>
    </row>
    <row r="34" spans="2:22" ht="11.25">
      <c r="B34" s="161" t="s">
        <v>1057</v>
      </c>
      <c r="C34" s="161" t="s">
        <v>1057</v>
      </c>
      <c r="D34" s="161">
        <v>0</v>
      </c>
      <c r="E34" s="161" t="s">
        <v>1057</v>
      </c>
      <c r="F34" s="161" t="s">
        <v>1057</v>
      </c>
      <c r="G34" s="161" t="s">
        <v>1057</v>
      </c>
      <c r="H34" s="161" t="s">
        <v>1057</v>
      </c>
      <c r="I34" s="161" t="s">
        <v>1057</v>
      </c>
      <c r="J34" s="161">
        <v>0</v>
      </c>
      <c r="K34" s="161">
        <v>0</v>
      </c>
      <c r="L34" s="160" t="s">
        <v>1057</v>
      </c>
      <c r="M34" s="160" t="s">
        <v>802</v>
      </c>
      <c r="N34" s="160" t="s">
        <v>1162</v>
      </c>
      <c r="O34" s="160" t="s">
        <v>1067</v>
      </c>
      <c r="P34" s="160" t="s">
        <v>1059</v>
      </c>
      <c r="Q34" s="160" t="str">
        <f>CONCATENATE(100+(10*Data!E25)," ft.")</f>
        <v>110 ft.</v>
      </c>
      <c r="R34" s="162" t="s">
        <v>1288</v>
      </c>
      <c r="S34" s="160" t="str">
        <f>CONCATENATE(Data!E25," min. [D]")</f>
        <v>1 min. [D]</v>
      </c>
      <c r="T34" s="160" t="s">
        <v>1061</v>
      </c>
      <c r="U34" s="160" t="s">
        <v>801</v>
      </c>
      <c r="V34" s="160" t="s">
        <v>1057</v>
      </c>
    </row>
    <row r="35" spans="2:22" ht="11.25">
      <c r="B35" s="161" t="s">
        <v>1057</v>
      </c>
      <c r="C35" s="161" t="s">
        <v>1057</v>
      </c>
      <c r="D35" s="161" t="s">
        <v>1057</v>
      </c>
      <c r="E35" s="161" t="s">
        <v>1057</v>
      </c>
      <c r="F35" s="161">
        <v>6</v>
      </c>
      <c r="G35" s="161" t="s">
        <v>1057</v>
      </c>
      <c r="H35" s="161" t="s">
        <v>1057</v>
      </c>
      <c r="I35" s="161" t="s">
        <v>1057</v>
      </c>
      <c r="J35" s="161">
        <v>7</v>
      </c>
      <c r="K35" s="161">
        <v>7</v>
      </c>
      <c r="L35" s="160" t="s">
        <v>1057</v>
      </c>
      <c r="M35" s="160" t="s">
        <v>1147</v>
      </c>
      <c r="N35" s="160" t="s">
        <v>845</v>
      </c>
      <c r="O35" s="160" t="s">
        <v>1086</v>
      </c>
      <c r="P35" s="160" t="s">
        <v>1059</v>
      </c>
      <c r="Q35" s="160" t="str">
        <f>CONCATENATE(25+(FLOOR(Data!E25/2,1)*5)," ft.")</f>
        <v>25 ft.</v>
      </c>
      <c r="R35" s="162" t="s">
        <v>1148</v>
      </c>
      <c r="S35" s="160" t="s">
        <v>1069</v>
      </c>
      <c r="T35" s="160" t="s">
        <v>1141</v>
      </c>
      <c r="U35" s="160" t="s">
        <v>805</v>
      </c>
      <c r="V35" s="160" t="s">
        <v>1057</v>
      </c>
    </row>
    <row r="36" spans="2:22" ht="11.25">
      <c r="B36" s="161" t="s">
        <v>1057</v>
      </c>
      <c r="C36" s="161" t="s">
        <v>1057</v>
      </c>
      <c r="D36" s="161" t="s">
        <v>1057</v>
      </c>
      <c r="E36" s="161" t="s">
        <v>1057</v>
      </c>
      <c r="F36" s="161" t="s">
        <v>1057</v>
      </c>
      <c r="G36" s="161">
        <v>2</v>
      </c>
      <c r="H36" s="161" t="s">
        <v>1057</v>
      </c>
      <c r="I36" s="161">
        <v>2</v>
      </c>
      <c r="J36" s="161" t="s">
        <v>1057</v>
      </c>
      <c r="K36" s="161" t="s">
        <v>1057</v>
      </c>
      <c r="L36" s="160" t="s">
        <v>1150</v>
      </c>
      <c r="M36" s="160" t="s">
        <v>1149</v>
      </c>
      <c r="N36" s="160" t="s">
        <v>811</v>
      </c>
      <c r="O36" s="160" t="s">
        <v>1071</v>
      </c>
      <c r="P36" s="160" t="s">
        <v>1059</v>
      </c>
      <c r="Q36" s="160" t="s">
        <v>799</v>
      </c>
      <c r="R36" s="162" t="s">
        <v>1072</v>
      </c>
      <c r="S36" s="160" t="str">
        <f>CONCATENATE(Data!E25*10," min.")</f>
        <v>10 min.</v>
      </c>
      <c r="T36" s="160" t="s">
        <v>1061</v>
      </c>
      <c r="U36" s="160" t="s">
        <v>1073</v>
      </c>
      <c r="V36" s="160" t="s">
        <v>1057</v>
      </c>
    </row>
    <row r="37" spans="2:22" ht="11.25">
      <c r="B37" s="161">
        <v>0</v>
      </c>
      <c r="C37" s="161" t="s">
        <v>1057</v>
      </c>
      <c r="D37" s="161" t="s">
        <v>1057</v>
      </c>
      <c r="E37" s="161" t="s">
        <v>1057</v>
      </c>
      <c r="F37" s="161">
        <v>0</v>
      </c>
      <c r="G37" s="161">
        <v>0</v>
      </c>
      <c r="H37" s="161" t="s">
        <v>1057</v>
      </c>
      <c r="I37" s="161" t="s">
        <v>1057</v>
      </c>
      <c r="J37" s="161" t="s">
        <v>1057</v>
      </c>
      <c r="K37" s="161" t="s">
        <v>1057</v>
      </c>
      <c r="L37" s="160" t="s">
        <v>1057</v>
      </c>
      <c r="M37" s="160" t="s">
        <v>824</v>
      </c>
      <c r="N37" s="160" t="s">
        <v>822</v>
      </c>
      <c r="O37" s="160" t="s">
        <v>1067</v>
      </c>
      <c r="P37" s="160" t="s">
        <v>1059</v>
      </c>
      <c r="Q37" s="160" t="s">
        <v>799</v>
      </c>
      <c r="R37" s="162" t="s">
        <v>1152</v>
      </c>
      <c r="S37" s="160" t="str">
        <f>CONCATENATE(Data!E25," min. or until dis.")</f>
        <v>1 min. or until dis.</v>
      </c>
      <c r="T37" s="160" t="s">
        <v>1153</v>
      </c>
      <c r="U37" s="160" t="s">
        <v>805</v>
      </c>
      <c r="V37" s="160" t="s">
        <v>1057</v>
      </c>
    </row>
    <row r="38" spans="2:22" ht="11.25">
      <c r="B38" s="161" t="s">
        <v>1057</v>
      </c>
      <c r="C38" s="161" t="s">
        <v>1057</v>
      </c>
      <c r="D38" s="161" t="s">
        <v>1057</v>
      </c>
      <c r="E38" s="161" t="s">
        <v>1057</v>
      </c>
      <c r="F38" s="161">
        <v>6</v>
      </c>
      <c r="G38" s="161">
        <v>6</v>
      </c>
      <c r="H38" s="161" t="s">
        <v>1057</v>
      </c>
      <c r="I38" s="161" t="s">
        <v>1057</v>
      </c>
      <c r="J38" s="161">
        <v>6</v>
      </c>
      <c r="K38" s="161">
        <v>6</v>
      </c>
      <c r="L38" s="160" t="s">
        <v>1057</v>
      </c>
      <c r="M38" s="160" t="s">
        <v>1154</v>
      </c>
      <c r="N38" s="160" t="s">
        <v>811</v>
      </c>
      <c r="O38" s="160" t="s">
        <v>1071</v>
      </c>
      <c r="P38" s="160" t="s">
        <v>1059</v>
      </c>
      <c r="Q38" s="160" t="str">
        <f>CONCATENATE(25+(FLOOR(Data!E25/2,1)*5)," ft.")</f>
        <v>25 ft.</v>
      </c>
      <c r="R38" s="162" t="str">
        <f>CONCATENATE("Targets: ",Data!E25," creatures within 30 ft. of each other")</f>
        <v>Targets: 1 creatures within 30 ft. of each other</v>
      </c>
      <c r="S38" s="160" t="str">
        <f>CONCATENATE(Data!E25," min.")</f>
        <v>1 min.</v>
      </c>
      <c r="T38" s="160" t="s">
        <v>1153</v>
      </c>
      <c r="U38" s="160" t="s">
        <v>805</v>
      </c>
      <c r="V38" s="160" t="s">
        <v>1057</v>
      </c>
    </row>
    <row r="39" spans="2:22" ht="11.25">
      <c r="B39" s="161">
        <v>3</v>
      </c>
      <c r="C39" s="161" t="s">
        <v>1057</v>
      </c>
      <c r="D39" s="161" t="s">
        <v>1057</v>
      </c>
      <c r="E39" s="161" t="s">
        <v>1057</v>
      </c>
      <c r="F39" s="161">
        <v>3</v>
      </c>
      <c r="G39" s="161" t="s">
        <v>1057</v>
      </c>
      <c r="H39" s="161" t="s">
        <v>1057</v>
      </c>
      <c r="I39" s="161" t="s">
        <v>1057</v>
      </c>
      <c r="J39" s="161">
        <v>4</v>
      </c>
      <c r="K39" s="161">
        <v>4</v>
      </c>
      <c r="L39" s="160" t="s">
        <v>1057</v>
      </c>
      <c r="M39" s="160" t="s">
        <v>881</v>
      </c>
      <c r="N39" s="160" t="s">
        <v>826</v>
      </c>
      <c r="O39" s="160" t="s">
        <v>1067</v>
      </c>
      <c r="P39" s="160" t="s">
        <v>1059</v>
      </c>
      <c r="Q39" s="160" t="s">
        <v>799</v>
      </c>
      <c r="R39" s="162" t="s">
        <v>1152</v>
      </c>
      <c r="S39" s="160" t="s">
        <v>800</v>
      </c>
      <c r="T39" s="160" t="s">
        <v>1141</v>
      </c>
      <c r="U39" s="160" t="s">
        <v>805</v>
      </c>
      <c r="V39" s="160" t="s">
        <v>1057</v>
      </c>
    </row>
    <row r="40" spans="2:22" ht="11.25">
      <c r="B40" s="161" t="s">
        <v>1057</v>
      </c>
      <c r="C40" s="161" t="s">
        <v>1057</v>
      </c>
      <c r="D40" s="161" t="s">
        <v>1057</v>
      </c>
      <c r="E40" s="161" t="s">
        <v>1057</v>
      </c>
      <c r="F40" s="161" t="s">
        <v>1057</v>
      </c>
      <c r="G40" s="161" t="s">
        <v>1057</v>
      </c>
      <c r="H40" s="161" t="s">
        <v>1057</v>
      </c>
      <c r="I40" s="161" t="s">
        <v>1057</v>
      </c>
      <c r="J40" s="161">
        <v>8</v>
      </c>
      <c r="K40" s="161">
        <v>8</v>
      </c>
      <c r="L40" s="160" t="s">
        <v>1057</v>
      </c>
      <c r="M40" s="160" t="s">
        <v>1155</v>
      </c>
      <c r="N40" s="160" t="s">
        <v>804</v>
      </c>
      <c r="O40" s="160" t="s">
        <v>1091</v>
      </c>
      <c r="P40" s="160" t="s">
        <v>1135</v>
      </c>
      <c r="Q40" s="160" t="str">
        <f>CONCATENATE(25+(FLOOR(Data!E25/2,1)*5)," ft.")</f>
        <v>25 ft.</v>
      </c>
      <c r="R40" s="162" t="s">
        <v>1156</v>
      </c>
      <c r="S40" s="160" t="s">
        <v>1157</v>
      </c>
      <c r="T40" s="160" t="s">
        <v>1087</v>
      </c>
      <c r="U40" s="160" t="s">
        <v>805</v>
      </c>
      <c r="V40" s="160" t="s">
        <v>1134</v>
      </c>
    </row>
    <row r="41" spans="2:22" ht="11.25">
      <c r="B41" s="161" t="s">
        <v>1057</v>
      </c>
      <c r="C41" s="161" t="s">
        <v>1057</v>
      </c>
      <c r="D41" s="161" t="s">
        <v>1057</v>
      </c>
      <c r="E41" s="161" t="s">
        <v>1057</v>
      </c>
      <c r="F41" s="161" t="s">
        <v>1057</v>
      </c>
      <c r="G41" s="161" t="s">
        <v>1057</v>
      </c>
      <c r="H41" s="161" t="s">
        <v>1057</v>
      </c>
      <c r="I41" s="161" t="s">
        <v>1057</v>
      </c>
      <c r="J41" s="161">
        <v>4</v>
      </c>
      <c r="K41" s="161">
        <v>4</v>
      </c>
      <c r="L41" s="160" t="s">
        <v>1057</v>
      </c>
      <c r="M41" s="160" t="s">
        <v>1158</v>
      </c>
      <c r="N41" s="160" t="s">
        <v>815</v>
      </c>
      <c r="O41" s="160" t="s">
        <v>1091</v>
      </c>
      <c r="P41" s="160" t="s">
        <v>1059</v>
      </c>
      <c r="Q41" s="160" t="str">
        <f>CONCATENATE(100+(10*Data!E25)," ft.")</f>
        <v>110 ft.</v>
      </c>
      <c r="R41" s="162" t="s">
        <v>1159</v>
      </c>
      <c r="S41" s="160" t="str">
        <f>CONCATENATE(Data!E25," rnds [D]")</f>
        <v>1 rnds [D]</v>
      </c>
      <c r="T41" s="160" t="s">
        <v>1061</v>
      </c>
      <c r="U41" s="160" t="s">
        <v>801</v>
      </c>
      <c r="V41" s="160" t="s">
        <v>1057</v>
      </c>
    </row>
    <row r="42" spans="2:22" ht="11.25">
      <c r="B42" s="161" t="s">
        <v>1057</v>
      </c>
      <c r="C42" s="161" t="s">
        <v>1057</v>
      </c>
      <c r="D42" s="161" t="s">
        <v>1057</v>
      </c>
      <c r="E42" s="161" t="s">
        <v>1057</v>
      </c>
      <c r="F42" s="161">
        <v>6</v>
      </c>
      <c r="G42" s="161" t="s">
        <v>1057</v>
      </c>
      <c r="H42" s="161" t="s">
        <v>1057</v>
      </c>
      <c r="I42" s="161" t="s">
        <v>1057</v>
      </c>
      <c r="J42" s="161" t="s">
        <v>1057</v>
      </c>
      <c r="K42" s="161" t="s">
        <v>1057</v>
      </c>
      <c r="L42" s="160" t="s">
        <v>1161</v>
      </c>
      <c r="M42" s="160" t="s">
        <v>1160</v>
      </c>
      <c r="N42" s="160" t="s">
        <v>1162</v>
      </c>
      <c r="O42" s="160" t="s">
        <v>1067</v>
      </c>
      <c r="P42" s="160" t="s">
        <v>1059</v>
      </c>
      <c r="Q42" s="160" t="str">
        <f>CONCATENATE(100+(10*Data!E25)," ft.")</f>
        <v>110 ft.</v>
      </c>
      <c r="R42" s="162" t="str">
        <f>CONCATENATE("Effect: 20 ft. high wall of whirling blades up to ",Data!E25*20," ft. long, or up to ",FLOOR(Data!E25/2,1)*5," ft. radius ring.")</f>
        <v>Effect: 20 ft. high wall of whirling blades up to 20 ft. long, or up to 0 ft. radius ring.</v>
      </c>
      <c r="S42" s="160" t="str">
        <f>CONCATENATE(Data!E25," min. [D]")</f>
        <v>1 min. [D]</v>
      </c>
      <c r="T42" s="160" t="s">
        <v>1087</v>
      </c>
      <c r="U42" s="160" t="s">
        <v>805</v>
      </c>
      <c r="V42" s="160" t="s">
        <v>1057</v>
      </c>
    </row>
    <row r="43" spans="2:22" ht="11.25">
      <c r="B43" s="161" t="s">
        <v>1057</v>
      </c>
      <c r="C43" s="161" t="s">
        <v>1057</v>
      </c>
      <c r="D43" s="161" t="s">
        <v>1057</v>
      </c>
      <c r="E43" s="161" t="s">
        <v>1057</v>
      </c>
      <c r="F43" s="161">
        <v>7</v>
      </c>
      <c r="G43" s="161" t="s">
        <v>1057</v>
      </c>
      <c r="H43" s="161" t="s">
        <v>1057</v>
      </c>
      <c r="I43" s="161" t="s">
        <v>1057</v>
      </c>
      <c r="J43" s="161" t="s">
        <v>1057</v>
      </c>
      <c r="K43" s="161" t="s">
        <v>1057</v>
      </c>
      <c r="L43" s="160" t="s">
        <v>1164</v>
      </c>
      <c r="M43" s="160" t="s">
        <v>1163</v>
      </c>
      <c r="N43" s="160" t="s">
        <v>1162</v>
      </c>
      <c r="O43" s="160" t="s">
        <v>1104</v>
      </c>
      <c r="P43" s="160" t="s">
        <v>1059</v>
      </c>
      <c r="Q43" s="160" t="s">
        <v>1165</v>
      </c>
      <c r="R43" s="162" t="s">
        <v>1166</v>
      </c>
      <c r="S43" s="160" t="s">
        <v>1069</v>
      </c>
      <c r="T43" s="160" t="s">
        <v>1087</v>
      </c>
      <c r="U43" s="160" t="s">
        <v>805</v>
      </c>
      <c r="V43" s="160" t="s">
        <v>1057</v>
      </c>
    </row>
    <row r="44" spans="2:22" ht="11.25">
      <c r="B44" s="161" t="s">
        <v>1057</v>
      </c>
      <c r="C44" s="161" t="s">
        <v>1057</v>
      </c>
      <c r="D44" s="161" t="s">
        <v>1057</v>
      </c>
      <c r="E44" s="161" t="s">
        <v>1057</v>
      </c>
      <c r="F44" s="161">
        <v>0</v>
      </c>
      <c r="G44" s="161" t="s">
        <v>1057</v>
      </c>
      <c r="H44" s="161" t="s">
        <v>1057</v>
      </c>
      <c r="I44" s="161" t="s">
        <v>1057</v>
      </c>
      <c r="J44" s="161" t="s">
        <v>1057</v>
      </c>
      <c r="K44" s="161" t="s">
        <v>1057</v>
      </c>
      <c r="L44" s="160" t="s">
        <v>1057</v>
      </c>
      <c r="M44" s="160" t="s">
        <v>825</v>
      </c>
      <c r="N44" s="160" t="s">
        <v>826</v>
      </c>
      <c r="O44" s="160" t="s">
        <v>1067</v>
      </c>
      <c r="P44" s="160" t="s">
        <v>1059</v>
      </c>
      <c r="Q44" s="160" t="s">
        <v>799</v>
      </c>
      <c r="R44" s="162" t="s">
        <v>1152</v>
      </c>
      <c r="S44" s="160" t="s">
        <v>1069</v>
      </c>
      <c r="T44" s="160" t="s">
        <v>1141</v>
      </c>
      <c r="U44" s="160" t="s">
        <v>805</v>
      </c>
      <c r="V44" s="160" t="s">
        <v>1057</v>
      </c>
    </row>
    <row r="45" spans="2:22" ht="11.25">
      <c r="B45" s="161" t="s">
        <v>1057</v>
      </c>
      <c r="C45" s="161" t="s">
        <v>1057</v>
      </c>
      <c r="D45" s="161">
        <v>0</v>
      </c>
      <c r="E45" s="161" t="s">
        <v>1057</v>
      </c>
      <c r="F45" s="161" t="s">
        <v>1057</v>
      </c>
      <c r="G45" s="161" t="s">
        <v>1057</v>
      </c>
      <c r="H45" s="161" t="s">
        <v>1057</v>
      </c>
      <c r="I45" s="161" t="s">
        <v>1057</v>
      </c>
      <c r="J45" s="161">
        <v>0</v>
      </c>
      <c r="K45" s="161">
        <v>0</v>
      </c>
      <c r="L45" s="160" t="s">
        <v>1057</v>
      </c>
      <c r="M45" s="160" t="s">
        <v>803</v>
      </c>
      <c r="N45" s="160" t="s">
        <v>804</v>
      </c>
      <c r="O45" s="160" t="s">
        <v>1091</v>
      </c>
      <c r="P45" s="160" t="s">
        <v>1059</v>
      </c>
      <c r="Q45" s="160" t="str">
        <f>CONCATENATE(25+(FLOOR(Data!E25/2,1)*5)," ft.")</f>
        <v>25 ft.</v>
      </c>
      <c r="R45" s="162" t="s">
        <v>1292</v>
      </c>
      <c r="S45" s="160" t="s">
        <v>1108</v>
      </c>
      <c r="T45" s="160" t="s">
        <v>1141</v>
      </c>
      <c r="U45" s="160" t="s">
        <v>805</v>
      </c>
      <c r="V45" s="160" t="s">
        <v>1057</v>
      </c>
    </row>
    <row r="46" spans="2:22" ht="11.25">
      <c r="B46" s="161" t="s">
        <v>1057</v>
      </c>
      <c r="C46" s="161" t="s">
        <v>1057</v>
      </c>
      <c r="D46" s="161" t="s">
        <v>1057</v>
      </c>
      <c r="E46" s="161" t="s">
        <v>1057</v>
      </c>
      <c r="F46" s="161" t="s">
        <v>1057</v>
      </c>
      <c r="G46" s="161" t="s">
        <v>1057</v>
      </c>
      <c r="H46" s="161">
        <v>1</v>
      </c>
      <c r="I46" s="161" t="s">
        <v>1057</v>
      </c>
      <c r="J46" s="161" t="s">
        <v>1057</v>
      </c>
      <c r="K46" s="161" t="s">
        <v>1057</v>
      </c>
      <c r="L46" s="160" t="s">
        <v>1057</v>
      </c>
      <c r="M46" s="160" t="s">
        <v>1171</v>
      </c>
      <c r="N46" s="160" t="s">
        <v>811</v>
      </c>
      <c r="O46" s="160" t="s">
        <v>1067</v>
      </c>
      <c r="P46" s="160" t="s">
        <v>1059</v>
      </c>
      <c r="Q46" s="160" t="s">
        <v>799</v>
      </c>
      <c r="R46" s="162" t="s">
        <v>1172</v>
      </c>
      <c r="S46" s="160" t="str">
        <f>CONCATENATE(Data!E25," min.")</f>
        <v>1 min.</v>
      </c>
      <c r="T46" s="160" t="s">
        <v>1061</v>
      </c>
      <c r="U46" s="160" t="s">
        <v>801</v>
      </c>
      <c r="V46" s="160" t="s">
        <v>1057</v>
      </c>
    </row>
    <row r="47" spans="2:22" ht="11.25">
      <c r="B47" s="161" t="s">
        <v>1057</v>
      </c>
      <c r="C47" s="161" t="s">
        <v>1057</v>
      </c>
      <c r="D47" s="161" t="s">
        <v>1057</v>
      </c>
      <c r="E47" s="161" t="s">
        <v>1057</v>
      </c>
      <c r="F47" s="161" t="s">
        <v>1057</v>
      </c>
      <c r="G47" s="161">
        <v>4</v>
      </c>
      <c r="H47" s="161" t="s">
        <v>1057</v>
      </c>
      <c r="I47" s="161" t="s">
        <v>1057</v>
      </c>
      <c r="J47" s="161">
        <v>5</v>
      </c>
      <c r="K47" s="161">
        <v>5</v>
      </c>
      <c r="L47" s="160" t="s">
        <v>1057</v>
      </c>
      <c r="M47" s="160" t="s">
        <v>1173</v>
      </c>
      <c r="N47" s="160" t="s">
        <v>826</v>
      </c>
      <c r="O47" s="160" t="s">
        <v>1071</v>
      </c>
      <c r="P47" s="160" t="s">
        <v>1059</v>
      </c>
      <c r="Q47" s="160" t="s">
        <v>799</v>
      </c>
      <c r="R47" s="162" t="s">
        <v>1174</v>
      </c>
      <c r="S47" s="160" t="s">
        <v>1069</v>
      </c>
      <c r="T47" s="160" t="s">
        <v>1087</v>
      </c>
      <c r="U47" s="160" t="s">
        <v>805</v>
      </c>
      <c r="V47" s="160" t="s">
        <v>1057</v>
      </c>
    </row>
    <row r="48" spans="2:22" ht="11.25">
      <c r="B48" s="161" t="s">
        <v>1057</v>
      </c>
      <c r="C48" s="161" t="s">
        <v>1057</v>
      </c>
      <c r="D48" s="161" t="s">
        <v>1057</v>
      </c>
      <c r="E48" s="161" t="s">
        <v>1057</v>
      </c>
      <c r="F48" s="161" t="s">
        <v>1057</v>
      </c>
      <c r="G48" s="161" t="s">
        <v>1057</v>
      </c>
      <c r="H48" s="161" t="s">
        <v>1057</v>
      </c>
      <c r="I48" s="161" t="s">
        <v>1057</v>
      </c>
      <c r="J48" s="161">
        <v>0</v>
      </c>
      <c r="K48" s="161">
        <v>0</v>
      </c>
      <c r="L48" s="160" t="s">
        <v>1057</v>
      </c>
      <c r="M48" s="160" t="s">
        <v>942</v>
      </c>
      <c r="N48" s="160" t="s">
        <v>826</v>
      </c>
      <c r="O48" s="160" t="s">
        <v>1067</v>
      </c>
      <c r="P48" s="160" t="s">
        <v>1059</v>
      </c>
      <c r="Q48" s="160" t="str">
        <f>CONCATENATE(25+(FLOOR(Data!E25/2,1)*5)," ft.")</f>
        <v>25 ft.</v>
      </c>
      <c r="R48" s="162" t="s">
        <v>1326</v>
      </c>
      <c r="S48" s="160" t="s">
        <v>1069</v>
      </c>
      <c r="T48" s="160" t="s">
        <v>1061</v>
      </c>
      <c r="U48" s="160" t="s">
        <v>805</v>
      </c>
      <c r="V48" s="160" t="s">
        <v>1057</v>
      </c>
    </row>
    <row r="49" spans="2:22" ht="11.25">
      <c r="B49" s="161" t="s">
        <v>1057</v>
      </c>
      <c r="C49" s="161" t="s">
        <v>1057</v>
      </c>
      <c r="D49" s="161">
        <v>3</v>
      </c>
      <c r="E49" s="161" t="s">
        <v>1057</v>
      </c>
      <c r="F49" s="161" t="s">
        <v>1057</v>
      </c>
      <c r="G49" s="161" t="s">
        <v>1057</v>
      </c>
      <c r="H49" s="161" t="s">
        <v>1057</v>
      </c>
      <c r="I49" s="161" t="s">
        <v>1057</v>
      </c>
      <c r="J49" s="161">
        <v>3</v>
      </c>
      <c r="K49" s="161">
        <v>3</v>
      </c>
      <c r="L49" s="160" t="s">
        <v>1057</v>
      </c>
      <c r="M49" s="160" t="s">
        <v>1177</v>
      </c>
      <c r="N49" s="160" t="s">
        <v>811</v>
      </c>
      <c r="O49" s="160" t="s">
        <v>1067</v>
      </c>
      <c r="P49" s="160" t="s">
        <v>1059</v>
      </c>
      <c r="Q49" s="160" t="s">
        <v>817</v>
      </c>
      <c r="R49" s="162" t="s">
        <v>1084</v>
      </c>
      <c r="S49" s="160" t="str">
        <f>CONCATENATE(Data!E25," rnds [D]")</f>
        <v>1 rnds [D]</v>
      </c>
      <c r="T49" s="160" t="s">
        <v>1061</v>
      </c>
      <c r="U49" s="160" t="s">
        <v>801</v>
      </c>
      <c r="V49" s="160" t="s">
        <v>1057</v>
      </c>
    </row>
    <row r="50" spans="2:22" ht="11.25">
      <c r="B50" s="161" t="s">
        <v>1057</v>
      </c>
      <c r="C50" s="161" t="s">
        <v>1057</v>
      </c>
      <c r="D50" s="161">
        <v>0</v>
      </c>
      <c r="E50" s="161" t="s">
        <v>1057</v>
      </c>
      <c r="F50" s="161" t="s">
        <v>1057</v>
      </c>
      <c r="G50" s="161">
        <v>0</v>
      </c>
      <c r="H50" s="161" t="s">
        <v>1057</v>
      </c>
      <c r="I50" s="161" t="s">
        <v>1057</v>
      </c>
      <c r="J50" s="161">
        <v>0</v>
      </c>
      <c r="K50" s="161">
        <v>0</v>
      </c>
      <c r="L50" s="160" t="s">
        <v>1057</v>
      </c>
      <c r="M50" s="160" t="s">
        <v>807</v>
      </c>
      <c r="N50" s="160" t="s">
        <v>1162</v>
      </c>
      <c r="O50" s="160" t="s">
        <v>1104</v>
      </c>
      <c r="P50" s="160" t="s">
        <v>1059</v>
      </c>
      <c r="Q50" s="160" t="str">
        <f>CONCATENATE(25+(FLOOR(Data!E25/2,1)*5)," ft.")</f>
        <v>25 ft.</v>
      </c>
      <c r="R50" s="162" t="s">
        <v>1430</v>
      </c>
      <c r="S50" s="160" t="s">
        <v>1069</v>
      </c>
      <c r="T50" s="160" t="s">
        <v>1090</v>
      </c>
      <c r="U50" s="160" t="s">
        <v>805</v>
      </c>
      <c r="V50" s="160" t="s">
        <v>1057</v>
      </c>
    </row>
    <row r="51" spans="2:22" ht="11.25">
      <c r="B51" s="161">
        <v>5</v>
      </c>
      <c r="C51" s="161" t="s">
        <v>1057</v>
      </c>
      <c r="D51" s="161">
        <v>4</v>
      </c>
      <c r="E51" s="161" t="s">
        <v>1057</v>
      </c>
      <c r="F51" s="161">
        <v>5</v>
      </c>
      <c r="G51" s="161" t="s">
        <v>1057</v>
      </c>
      <c r="H51" s="161">
        <v>4</v>
      </c>
      <c r="I51" s="161" t="s">
        <v>1057</v>
      </c>
      <c r="J51" s="161">
        <v>5</v>
      </c>
      <c r="K51" s="161">
        <v>5</v>
      </c>
      <c r="L51" s="160" t="s">
        <v>1181</v>
      </c>
      <c r="M51" s="160" t="s">
        <v>1180</v>
      </c>
      <c r="N51" s="160" t="s">
        <v>845</v>
      </c>
      <c r="O51" s="160" t="s">
        <v>1067</v>
      </c>
      <c r="P51" s="160" t="s">
        <v>1135</v>
      </c>
      <c r="Q51" s="160" t="str">
        <f>CONCATENATE(25+(FLOOR(Data!E25/2,1)*5)," ft.")</f>
        <v>25 ft.</v>
      </c>
      <c r="R51" s="162" t="str">
        <f>CONCATENATE("Targets: Up to ",Data!E25," creatures, all within 30 ft. of each other")</f>
        <v>Targets: Up to 1 creatures, all within 30 ft. of each other</v>
      </c>
      <c r="S51" s="160" t="s">
        <v>1069</v>
      </c>
      <c r="T51" s="160" t="s">
        <v>1087</v>
      </c>
      <c r="U51" s="160" t="s">
        <v>801</v>
      </c>
      <c r="V51" s="160" t="s">
        <v>1057</v>
      </c>
    </row>
    <row r="52" spans="2:22" ht="11.25">
      <c r="B52" s="161">
        <v>0</v>
      </c>
      <c r="C52" s="161">
        <v>1</v>
      </c>
      <c r="D52" s="161">
        <v>0</v>
      </c>
      <c r="E52" s="161" t="s">
        <v>1057</v>
      </c>
      <c r="F52" s="161" t="s">
        <v>1057</v>
      </c>
      <c r="G52" s="161" t="s">
        <v>1057</v>
      </c>
      <c r="H52" s="161" t="s">
        <v>1057</v>
      </c>
      <c r="I52" s="161" t="s">
        <v>1057</v>
      </c>
      <c r="J52" s="161">
        <v>0</v>
      </c>
      <c r="K52" s="161">
        <v>0</v>
      </c>
      <c r="L52" s="160" t="s">
        <v>1057</v>
      </c>
      <c r="M52" s="160" t="s">
        <v>808</v>
      </c>
      <c r="N52" s="160" t="s">
        <v>1179</v>
      </c>
      <c r="O52" s="160" t="s">
        <v>1091</v>
      </c>
      <c r="P52" s="160" t="s">
        <v>1059</v>
      </c>
      <c r="Q52" s="160" t="str">
        <f>CONCATENATE(25+(FLOOR(Data!E25/2,1)*5)," ft.")</f>
        <v>25 ft.</v>
      </c>
      <c r="R52" s="162" t="s">
        <v>1461</v>
      </c>
      <c r="S52" s="160" t="str">
        <f>CONCATENATE(Data!E25," rnds [D]")</f>
        <v>1 rnds [D]</v>
      </c>
      <c r="T52" s="160" t="s">
        <v>1462</v>
      </c>
      <c r="U52" s="160" t="s">
        <v>801</v>
      </c>
      <c r="V52" s="160" t="s">
        <v>1057</v>
      </c>
    </row>
    <row r="53" spans="2:22" ht="11.25">
      <c r="B53" s="161" t="s">
        <v>1057</v>
      </c>
      <c r="C53" s="161" t="s">
        <v>1057</v>
      </c>
      <c r="D53" s="161" t="s">
        <v>1057</v>
      </c>
      <c r="E53" s="161" t="s">
        <v>1057</v>
      </c>
      <c r="F53" s="161">
        <v>6</v>
      </c>
      <c r="G53" s="161">
        <v>6</v>
      </c>
      <c r="H53" s="161" t="s">
        <v>1057</v>
      </c>
      <c r="I53" s="161" t="s">
        <v>1057</v>
      </c>
      <c r="J53" s="161">
        <v>6</v>
      </c>
      <c r="K53" s="161">
        <v>6</v>
      </c>
      <c r="L53" s="160" t="s">
        <v>1057</v>
      </c>
      <c r="M53" s="160" t="s">
        <v>1183</v>
      </c>
      <c r="N53" s="160" t="s">
        <v>811</v>
      </c>
      <c r="O53" s="160" t="s">
        <v>1064</v>
      </c>
      <c r="P53" s="160" t="s">
        <v>1059</v>
      </c>
      <c r="Q53" s="160" t="str">
        <f>CONCATENATE(25+(FLOOR(Data!E25/2,1)*5)," ft.")</f>
        <v>25 ft.</v>
      </c>
      <c r="R53" s="162" t="str">
        <f>CONCATENATE("Targets: ",Data!E25," creatures within 30 ft. of each other")</f>
        <v>Targets: 1 creatures within 30 ft. of each other</v>
      </c>
      <c r="S53" s="160" t="str">
        <f>CONCATENATE(Data!E25," min.")</f>
        <v>1 min.</v>
      </c>
      <c r="T53" s="160" t="s">
        <v>1153</v>
      </c>
      <c r="U53" s="160" t="s">
        <v>1073</v>
      </c>
      <c r="V53" s="160" t="s">
        <v>1057</v>
      </c>
    </row>
    <row r="54" spans="2:22" ht="11.25">
      <c r="B54" s="161" t="s">
        <v>1057</v>
      </c>
      <c r="C54" s="161" t="s">
        <v>1057</v>
      </c>
      <c r="D54" s="161">
        <v>0</v>
      </c>
      <c r="E54" s="161" t="s">
        <v>1057</v>
      </c>
      <c r="F54" s="161" t="s">
        <v>1057</v>
      </c>
      <c r="G54" s="161" t="s">
        <v>1057</v>
      </c>
      <c r="H54" s="161" t="s">
        <v>1057</v>
      </c>
      <c r="I54" s="161" t="s">
        <v>1057</v>
      </c>
      <c r="J54" s="161">
        <v>0</v>
      </c>
      <c r="K54" s="161">
        <v>0</v>
      </c>
      <c r="L54" s="160" t="s">
        <v>1057</v>
      </c>
      <c r="M54" s="160" t="s">
        <v>809</v>
      </c>
      <c r="N54" s="160" t="s">
        <v>811</v>
      </c>
      <c r="O54" s="160" t="s">
        <v>1067</v>
      </c>
      <c r="P54" s="160" t="s">
        <v>1059</v>
      </c>
      <c r="Q54" s="160" t="str">
        <f>CONCATENATE(25+(FLOOR(Data!E25/2,1)*5)," ft.")</f>
        <v>25 ft.</v>
      </c>
      <c r="R54" s="162" t="s">
        <v>145</v>
      </c>
      <c r="S54" s="160" t="s">
        <v>1097</v>
      </c>
      <c r="T54" s="160" t="s">
        <v>1061</v>
      </c>
      <c r="U54" s="160" t="s">
        <v>801</v>
      </c>
      <c r="V54" s="160" t="s">
        <v>1057</v>
      </c>
    </row>
    <row r="55" spans="2:22" ht="11.25">
      <c r="B55" s="161" t="s">
        <v>1057</v>
      </c>
      <c r="C55" s="161" t="s">
        <v>1057</v>
      </c>
      <c r="D55" s="161" t="s">
        <v>1057</v>
      </c>
      <c r="E55" s="161" t="s">
        <v>1057</v>
      </c>
      <c r="F55" s="161" t="s">
        <v>1057</v>
      </c>
      <c r="G55" s="161">
        <v>3</v>
      </c>
      <c r="H55" s="161" t="s">
        <v>1057</v>
      </c>
      <c r="I55" s="161" t="s">
        <v>1057</v>
      </c>
      <c r="J55" s="161" t="s">
        <v>1057</v>
      </c>
      <c r="K55" s="161" t="s">
        <v>1057</v>
      </c>
      <c r="L55" s="160" t="s">
        <v>1057</v>
      </c>
      <c r="M55" s="160" t="s">
        <v>1189</v>
      </c>
      <c r="N55" s="160" t="s">
        <v>1162</v>
      </c>
      <c r="O55" s="160" t="s">
        <v>1067</v>
      </c>
      <c r="P55" s="160" t="s">
        <v>1108</v>
      </c>
      <c r="Q55" s="160" t="str">
        <f>CONCATENATE(100+(10*Data!E25)," ft.")</f>
        <v>110 ft.</v>
      </c>
      <c r="R55" s="162" t="s">
        <v>1190</v>
      </c>
      <c r="S55" s="160" t="str">
        <f>CONCATENATE(Data!E25," min.")</f>
        <v>1 min.</v>
      </c>
      <c r="T55" s="160" t="s">
        <v>1188</v>
      </c>
      <c r="U55" s="160" t="s">
        <v>805</v>
      </c>
      <c r="V55" s="160" t="s">
        <v>1057</v>
      </c>
    </row>
    <row r="56" spans="2:22" ht="11.25">
      <c r="B56" s="161" t="s">
        <v>1057</v>
      </c>
      <c r="C56" s="161" t="s">
        <v>1057</v>
      </c>
      <c r="D56" s="161" t="s">
        <v>1057</v>
      </c>
      <c r="E56" s="161" t="s">
        <v>1057</v>
      </c>
      <c r="F56" s="161" t="s">
        <v>1057</v>
      </c>
      <c r="G56" s="161">
        <v>5</v>
      </c>
      <c r="H56" s="161" t="s">
        <v>1057</v>
      </c>
      <c r="I56" s="161" t="s">
        <v>1057</v>
      </c>
      <c r="J56" s="161" t="s">
        <v>1057</v>
      </c>
      <c r="K56" s="161" t="s">
        <v>1057</v>
      </c>
      <c r="L56" s="160" t="s">
        <v>1057</v>
      </c>
      <c r="M56" s="160" t="s">
        <v>1191</v>
      </c>
      <c r="N56" s="160" t="s">
        <v>1162</v>
      </c>
      <c r="O56" s="160" t="s">
        <v>1067</v>
      </c>
      <c r="P56" s="160" t="s">
        <v>1108</v>
      </c>
      <c r="Q56" s="160" t="str">
        <f>CONCATENATE(400+(40*Data!E25)," ft.")</f>
        <v>440 ft.</v>
      </c>
      <c r="R56" s="162" t="s">
        <v>1190</v>
      </c>
      <c r="S56" s="160" t="str">
        <f>CONCATENATE(Data!E25," min.")</f>
        <v>1 min.</v>
      </c>
      <c r="T56" s="160" t="s">
        <v>1188</v>
      </c>
      <c r="U56" s="160" t="s">
        <v>805</v>
      </c>
      <c r="V56" s="160" t="s">
        <v>1057</v>
      </c>
    </row>
    <row r="57" spans="2:22" ht="11.25">
      <c r="B57" s="161" t="s">
        <v>1057</v>
      </c>
      <c r="C57" s="161" t="s">
        <v>1057</v>
      </c>
      <c r="D57" s="161" t="s">
        <v>1057</v>
      </c>
      <c r="E57" s="161" t="s">
        <v>1057</v>
      </c>
      <c r="F57" s="161" t="s">
        <v>1057</v>
      </c>
      <c r="G57" s="161">
        <v>1</v>
      </c>
      <c r="H57" s="161" t="s">
        <v>1057</v>
      </c>
      <c r="I57" s="161">
        <v>1</v>
      </c>
      <c r="J57" s="161" t="s">
        <v>1057</v>
      </c>
      <c r="K57" s="161" t="s">
        <v>1057</v>
      </c>
      <c r="L57" s="160" t="s">
        <v>1193</v>
      </c>
      <c r="M57" s="160" t="s">
        <v>1192</v>
      </c>
      <c r="N57" s="160" t="s">
        <v>804</v>
      </c>
      <c r="O57" s="160" t="s">
        <v>1067</v>
      </c>
      <c r="P57" s="160" t="s">
        <v>1059</v>
      </c>
      <c r="Q57" s="160" t="str">
        <f>CONCATENATE(25+(FLOOR(Data!E25/2,1)*5)," ft.")</f>
        <v>25 ft.</v>
      </c>
      <c r="R57" s="162" t="s">
        <v>1194</v>
      </c>
      <c r="S57" s="160" t="str">
        <f>CONCATENATE(Data!E25," min.")</f>
        <v>1 min.</v>
      </c>
      <c r="T57" s="160" t="s">
        <v>1087</v>
      </c>
      <c r="U57" s="160" t="s">
        <v>805</v>
      </c>
      <c r="V57" s="160" t="s">
        <v>1057</v>
      </c>
    </row>
    <row r="58" spans="2:22" ht="11.25">
      <c r="B58" s="161">
        <v>0</v>
      </c>
      <c r="C58" s="161" t="s">
        <v>1057</v>
      </c>
      <c r="D58" s="161" t="s">
        <v>1057</v>
      </c>
      <c r="E58" s="161" t="s">
        <v>1057</v>
      </c>
      <c r="F58" s="161">
        <v>0</v>
      </c>
      <c r="G58" s="161">
        <v>0</v>
      </c>
      <c r="H58" s="161" t="s">
        <v>1057</v>
      </c>
      <c r="I58" s="161" t="s">
        <v>1057</v>
      </c>
      <c r="J58" s="161" t="s">
        <v>1057</v>
      </c>
      <c r="K58" s="161" t="s">
        <v>1057</v>
      </c>
      <c r="L58" s="160" t="s">
        <v>1057</v>
      </c>
      <c r="M58" s="160" t="s">
        <v>333</v>
      </c>
      <c r="N58" s="160" t="s">
        <v>811</v>
      </c>
      <c r="O58" s="160" t="s">
        <v>1067</v>
      </c>
      <c r="P58" s="160" t="s">
        <v>1059</v>
      </c>
      <c r="Q58" s="160" t="s">
        <v>1109</v>
      </c>
      <c r="R58" s="162" t="str">
        <f>CONCATENATE("Target: ",Data!E25," cu. ft. of contaminated food and water")</f>
        <v>Target: 1 cu. ft. of contaminated food and water</v>
      </c>
      <c r="S58" s="160" t="s">
        <v>1069</v>
      </c>
      <c r="T58" s="160" t="s">
        <v>1169</v>
      </c>
      <c r="U58" s="160" t="s">
        <v>1170</v>
      </c>
      <c r="V58" s="160" t="s">
        <v>1057</v>
      </c>
    </row>
    <row r="59" spans="2:22" ht="11.25">
      <c r="B59" s="161" t="s">
        <v>1057</v>
      </c>
      <c r="C59" s="161" t="s">
        <v>1057</v>
      </c>
      <c r="D59" s="161">
        <v>0</v>
      </c>
      <c r="E59" s="161" t="s">
        <v>1057</v>
      </c>
      <c r="F59" s="161" t="s">
        <v>1057</v>
      </c>
      <c r="G59" s="161" t="s">
        <v>1057</v>
      </c>
      <c r="H59" s="161" t="s">
        <v>1057</v>
      </c>
      <c r="I59" s="161" t="s">
        <v>1057</v>
      </c>
      <c r="J59" s="161">
        <v>0</v>
      </c>
      <c r="K59" s="161">
        <v>0</v>
      </c>
      <c r="L59" s="160" t="s">
        <v>1057</v>
      </c>
      <c r="M59" s="160" t="s">
        <v>185</v>
      </c>
      <c r="N59" s="160" t="s">
        <v>811</v>
      </c>
      <c r="O59" s="160" t="s">
        <v>1086</v>
      </c>
      <c r="P59" s="160" t="s">
        <v>1059</v>
      </c>
      <c r="Q59" s="160" t="str">
        <f>CONCATENATE(100+(10*Data!E25)," ft.")</f>
        <v>110 ft.</v>
      </c>
      <c r="R59" s="162" t="str">
        <f>CONCATENATE("Targets: ",Data!E25," creatures")</f>
        <v>Targets: 1 creatures</v>
      </c>
      <c r="S59" s="160" t="str">
        <f>CONCATENATE(Data!E25*10," min.")</f>
        <v>10 min.</v>
      </c>
      <c r="T59" s="160" t="s">
        <v>1061</v>
      </c>
      <c r="U59" s="160" t="s">
        <v>801</v>
      </c>
      <c r="V59" s="160" t="s">
        <v>1057</v>
      </c>
    </row>
    <row r="60" spans="2:22" ht="11.25">
      <c r="B60" s="161" t="s">
        <v>1057</v>
      </c>
      <c r="C60" s="161" t="s">
        <v>1057</v>
      </c>
      <c r="D60" s="161">
        <v>6</v>
      </c>
      <c r="E60" s="161" t="s">
        <v>1057</v>
      </c>
      <c r="F60" s="161" t="s">
        <v>1057</v>
      </c>
      <c r="G60" s="161">
        <v>6</v>
      </c>
      <c r="H60" s="161" t="s">
        <v>1057</v>
      </c>
      <c r="I60" s="161" t="s">
        <v>1057</v>
      </c>
      <c r="J60" s="161">
        <v>6</v>
      </c>
      <c r="K60" s="161">
        <v>6</v>
      </c>
      <c r="L60" s="160" t="s">
        <v>1057</v>
      </c>
      <c r="M60" s="160" t="s">
        <v>1198</v>
      </c>
      <c r="N60" s="160" t="s">
        <v>811</v>
      </c>
      <c r="O60" s="160" t="s">
        <v>1091</v>
      </c>
      <c r="P60" s="160" t="s">
        <v>1059</v>
      </c>
      <c r="Q60" s="160" t="str">
        <f>CONCATENATE(25+(FLOOR(Data!E25/2,1)*5)," ft.")</f>
        <v>25 ft.</v>
      </c>
      <c r="R60" s="162" t="str">
        <f>CONCATENATE("Targets: ",Data!E25," creatures within 30 ft. of each other")</f>
        <v>Targets: 1 creatures within 30 ft. of each other</v>
      </c>
      <c r="S60" s="160" t="str">
        <f>CONCATENATE(Data!E25," min.")</f>
        <v>1 min.</v>
      </c>
      <c r="T60" s="160" t="s">
        <v>1153</v>
      </c>
      <c r="U60" s="160" t="s">
        <v>805</v>
      </c>
      <c r="V60" s="160" t="s">
        <v>1057</v>
      </c>
    </row>
    <row r="61" spans="2:22" ht="11.25">
      <c r="B61" s="161" t="s">
        <v>1057</v>
      </c>
      <c r="C61" s="161" t="s">
        <v>1057</v>
      </c>
      <c r="D61" s="161">
        <v>0</v>
      </c>
      <c r="E61" s="161" t="s">
        <v>1057</v>
      </c>
      <c r="F61" s="161" t="s">
        <v>1057</v>
      </c>
      <c r="G61" s="161" t="s">
        <v>1057</v>
      </c>
      <c r="H61" s="161" t="s">
        <v>1057</v>
      </c>
      <c r="I61" s="161" t="s">
        <v>1057</v>
      </c>
      <c r="J61" s="161">
        <v>0</v>
      </c>
      <c r="K61" s="161">
        <v>0</v>
      </c>
      <c r="L61" s="160" t="s">
        <v>1057</v>
      </c>
      <c r="M61" s="160" t="s">
        <v>812</v>
      </c>
      <c r="N61" s="160" t="s">
        <v>811</v>
      </c>
      <c r="O61" s="160" t="s">
        <v>1086</v>
      </c>
      <c r="P61" s="160" t="s">
        <v>1059</v>
      </c>
      <c r="Q61" s="160" t="str">
        <f>CONCATENATE(25+(FLOOR(Data!E25/2,1)*5)," ft.")</f>
        <v>25 ft.</v>
      </c>
      <c r="R61" s="162" t="s">
        <v>254</v>
      </c>
      <c r="S61" s="160" t="s">
        <v>1069</v>
      </c>
      <c r="T61" s="160" t="s">
        <v>1169</v>
      </c>
      <c r="U61" s="160" t="s">
        <v>1217</v>
      </c>
      <c r="V61" s="160" t="s">
        <v>1057</v>
      </c>
    </row>
    <row r="62" spans="2:22" ht="11.25">
      <c r="B62" s="161" t="s">
        <v>1057</v>
      </c>
      <c r="C62" s="161" t="s">
        <v>1057</v>
      </c>
      <c r="D62" s="161" t="s">
        <v>1057</v>
      </c>
      <c r="E62" s="161" t="s">
        <v>1057</v>
      </c>
      <c r="F62" s="161" t="s">
        <v>1057</v>
      </c>
      <c r="G62" s="161" t="s">
        <v>1057</v>
      </c>
      <c r="H62" s="161" t="s">
        <v>1057</v>
      </c>
      <c r="I62" s="161" t="s">
        <v>1057</v>
      </c>
      <c r="J62" s="161">
        <v>6</v>
      </c>
      <c r="K62" s="161">
        <v>6</v>
      </c>
      <c r="L62" s="160" t="s">
        <v>1202</v>
      </c>
      <c r="M62" s="160" t="s">
        <v>1201</v>
      </c>
      <c r="N62" s="160" t="s">
        <v>1162</v>
      </c>
      <c r="O62" s="160" t="s">
        <v>1086</v>
      </c>
      <c r="P62" s="160" t="s">
        <v>1059</v>
      </c>
      <c r="Q62" s="160" t="str">
        <f>CONCATENATE(400+(40*Data!E25)," ft.")</f>
        <v>440 ft.</v>
      </c>
      <c r="R62" s="162" t="str">
        <f>CONCATENATE("Targets: One primary target, plus ",Data!E25," secondary targets within 30 ft. of the primary target")</f>
        <v>Targets: One primary target, plus 1 secondary targets within 30 ft. of the primary target</v>
      </c>
      <c r="S62" s="160" t="s">
        <v>1069</v>
      </c>
      <c r="T62" s="160" t="s">
        <v>1188</v>
      </c>
      <c r="U62" s="160" t="s">
        <v>805</v>
      </c>
      <c r="V62" s="160" t="s">
        <v>1057</v>
      </c>
    </row>
    <row r="63" spans="2:22" ht="11.25">
      <c r="B63" s="161" t="s">
        <v>1057</v>
      </c>
      <c r="C63" s="161" t="s">
        <v>1057</v>
      </c>
      <c r="D63" s="161" t="s">
        <v>1057</v>
      </c>
      <c r="E63" s="161" t="s">
        <v>1057</v>
      </c>
      <c r="F63" s="161" t="s">
        <v>1057</v>
      </c>
      <c r="G63" s="161">
        <v>7</v>
      </c>
      <c r="H63" s="161" t="s">
        <v>1057</v>
      </c>
      <c r="I63" s="161" t="s">
        <v>1057</v>
      </c>
      <c r="J63" s="161" t="s">
        <v>1057</v>
      </c>
      <c r="K63" s="161" t="s">
        <v>1057</v>
      </c>
      <c r="L63" s="160" t="s">
        <v>1057</v>
      </c>
      <c r="M63" s="160" t="s">
        <v>1203</v>
      </c>
      <c r="N63" s="160" t="s">
        <v>811</v>
      </c>
      <c r="O63" s="160" t="s">
        <v>1086</v>
      </c>
      <c r="P63" s="160" t="s">
        <v>1108</v>
      </c>
      <c r="Q63" s="160" t="s">
        <v>799</v>
      </c>
      <c r="R63" s="162" t="s">
        <v>1204</v>
      </c>
      <c r="S63" s="160" t="str">
        <f>CONCATENATE(Data!E25," hours [D]")</f>
        <v>1 hours [D]</v>
      </c>
      <c r="T63" s="160" t="s">
        <v>1061</v>
      </c>
      <c r="U63" s="160" t="s">
        <v>801</v>
      </c>
      <c r="V63" s="160" t="s">
        <v>1057</v>
      </c>
    </row>
    <row r="64" spans="2:22" ht="11.25">
      <c r="B64" s="161" t="s">
        <v>1057</v>
      </c>
      <c r="C64" s="161" t="s">
        <v>1057</v>
      </c>
      <c r="D64" s="161" t="s">
        <v>1057</v>
      </c>
      <c r="E64" s="161" t="s">
        <v>1057</v>
      </c>
      <c r="F64" s="161" t="s">
        <v>1057</v>
      </c>
      <c r="G64" s="161" t="s">
        <v>1057</v>
      </c>
      <c r="H64" s="161" t="s">
        <v>1057</v>
      </c>
      <c r="I64" s="161" t="s">
        <v>1057</v>
      </c>
      <c r="J64" s="161" t="s">
        <v>1057</v>
      </c>
      <c r="K64" s="161" t="s">
        <v>1057</v>
      </c>
      <c r="L64" s="160" t="s">
        <v>1206</v>
      </c>
      <c r="M64" s="160" t="s">
        <v>1205</v>
      </c>
      <c r="N64" s="160" t="s">
        <v>1162</v>
      </c>
      <c r="O64" s="160" t="s">
        <v>1067</v>
      </c>
      <c r="P64" s="160" t="s">
        <v>1059</v>
      </c>
      <c r="Q64" s="160" t="str">
        <f>CONCATENATE(100+(10*Data!E25)," ft.")</f>
        <v>110 ft.</v>
      </c>
      <c r="R64" s="162" t="s">
        <v>1207</v>
      </c>
      <c r="S64" s="160" t="s">
        <v>1087</v>
      </c>
      <c r="T64" s="160" t="s">
        <v>1087</v>
      </c>
      <c r="U64" s="160" t="s">
        <v>805</v>
      </c>
      <c r="V64" s="160" t="s">
        <v>1057</v>
      </c>
    </row>
    <row r="65" spans="2:22" ht="11.25">
      <c r="B65" s="161" t="s">
        <v>1057</v>
      </c>
      <c r="C65" s="161" t="s">
        <v>1057</v>
      </c>
      <c r="D65" s="161" t="s">
        <v>1057</v>
      </c>
      <c r="E65" s="161" t="s">
        <v>1057</v>
      </c>
      <c r="F65" s="161" t="s">
        <v>1057</v>
      </c>
      <c r="G65" s="161">
        <v>1</v>
      </c>
      <c r="H65" s="161" t="s">
        <v>1057</v>
      </c>
      <c r="I65" s="161">
        <v>1</v>
      </c>
      <c r="J65" s="161" t="s">
        <v>1057</v>
      </c>
      <c r="K65" s="161" t="s">
        <v>1057</v>
      </c>
      <c r="L65" s="160" t="s">
        <v>1057</v>
      </c>
      <c r="M65" s="160" t="s">
        <v>1208</v>
      </c>
      <c r="N65" s="160" t="s">
        <v>804</v>
      </c>
      <c r="O65" s="160" t="s">
        <v>1067</v>
      </c>
      <c r="P65" s="160" t="s">
        <v>1059</v>
      </c>
      <c r="Q65" s="160" t="str">
        <f>CONCATENATE(25+(FLOOR(Data!E25/2,1)*5)," ft.")</f>
        <v>25 ft.</v>
      </c>
      <c r="R65" s="162" t="s">
        <v>1209</v>
      </c>
      <c r="S65" s="160" t="str">
        <f>CONCATENATE(Data!E25," hours")</f>
        <v>1 hours</v>
      </c>
      <c r="T65" s="160" t="s">
        <v>1141</v>
      </c>
      <c r="U65" s="160" t="s">
        <v>805</v>
      </c>
      <c r="V65" s="160" t="s">
        <v>1057</v>
      </c>
    </row>
    <row r="66" spans="2:22" ht="11.25">
      <c r="B66" s="161" t="s">
        <v>1057</v>
      </c>
      <c r="C66" s="161" t="s">
        <v>1057</v>
      </c>
      <c r="D66" s="161">
        <v>3</v>
      </c>
      <c r="E66" s="161" t="s">
        <v>1057</v>
      </c>
      <c r="F66" s="161" t="s">
        <v>1057</v>
      </c>
      <c r="G66" s="161" t="s">
        <v>1057</v>
      </c>
      <c r="H66" s="161" t="s">
        <v>1057</v>
      </c>
      <c r="I66" s="161" t="s">
        <v>1057</v>
      </c>
      <c r="J66" s="161">
        <v>4</v>
      </c>
      <c r="K66" s="161">
        <v>4</v>
      </c>
      <c r="L66" s="160" t="s">
        <v>1057</v>
      </c>
      <c r="M66" s="160" t="s">
        <v>1210</v>
      </c>
      <c r="N66" s="160" t="s">
        <v>804</v>
      </c>
      <c r="O66" s="160" t="s">
        <v>1067</v>
      </c>
      <c r="P66" s="160" t="s">
        <v>1059</v>
      </c>
      <c r="Q66" s="160" t="str">
        <f>CONCATENATE(25+(FLOOR(Data!E25/2,1)*5)," ft.")</f>
        <v>25 ft.</v>
      </c>
      <c r="R66" s="162" t="s">
        <v>1156</v>
      </c>
      <c r="S66" s="160" t="str">
        <f>CONCATENATE(Data!E25," days")</f>
        <v>1 days</v>
      </c>
      <c r="T66" s="160" t="s">
        <v>1141</v>
      </c>
      <c r="U66" s="160" t="s">
        <v>805</v>
      </c>
      <c r="V66" s="160" t="s">
        <v>1057</v>
      </c>
    </row>
    <row r="67" spans="2:22" ht="11.25">
      <c r="B67" s="161" t="s">
        <v>1057</v>
      </c>
      <c r="C67" s="161" t="s">
        <v>1057</v>
      </c>
      <c r="D67" s="161">
        <v>6</v>
      </c>
      <c r="E67" s="161" t="s">
        <v>1057</v>
      </c>
      <c r="F67" s="161" t="s">
        <v>1057</v>
      </c>
      <c r="G67" s="161" t="s">
        <v>1057</v>
      </c>
      <c r="H67" s="161" t="s">
        <v>1057</v>
      </c>
      <c r="I67" s="161" t="s">
        <v>1057</v>
      </c>
      <c r="J67" s="161">
        <v>8</v>
      </c>
      <c r="K67" s="161">
        <v>8</v>
      </c>
      <c r="L67" s="160" t="s">
        <v>1057</v>
      </c>
      <c r="M67" s="160" t="s">
        <v>1211</v>
      </c>
      <c r="N67" s="160" t="s">
        <v>804</v>
      </c>
      <c r="O67" s="160" t="s">
        <v>1104</v>
      </c>
      <c r="P67" s="160" t="s">
        <v>1059</v>
      </c>
      <c r="Q67" s="160" t="str">
        <f>CONCATENATE(25+(FLOOR(Data!E25/2,1)*5)," ft.")</f>
        <v>25 ft.</v>
      </c>
      <c r="R67" s="162" t="s">
        <v>1212</v>
      </c>
      <c r="S67" s="160" t="str">
        <f>CONCATENATE(Data!E25," days")</f>
        <v>1 days</v>
      </c>
      <c r="T67" s="160" t="s">
        <v>1141</v>
      </c>
      <c r="U67" s="160" t="s">
        <v>805</v>
      </c>
      <c r="V67" s="160" t="s">
        <v>1057</v>
      </c>
    </row>
    <row r="68" spans="2:22" ht="11.25">
      <c r="B68" s="161" t="s">
        <v>1057</v>
      </c>
      <c r="C68" s="161" t="s">
        <v>1057</v>
      </c>
      <c r="D68" s="161">
        <v>0</v>
      </c>
      <c r="E68" s="161" t="s">
        <v>1057</v>
      </c>
      <c r="F68" s="161" t="s">
        <v>1057</v>
      </c>
      <c r="G68" s="161" t="s">
        <v>1057</v>
      </c>
      <c r="H68" s="161" t="s">
        <v>1057</v>
      </c>
      <c r="I68" s="161" t="s">
        <v>1057</v>
      </c>
      <c r="J68" s="161">
        <v>0</v>
      </c>
      <c r="K68" s="161">
        <v>0</v>
      </c>
      <c r="L68" s="160" t="s">
        <v>1057</v>
      </c>
      <c r="M68" s="160" t="s">
        <v>813</v>
      </c>
      <c r="N68" s="160" t="s">
        <v>1123</v>
      </c>
      <c r="O68" s="160" t="s">
        <v>1067</v>
      </c>
      <c r="P68" s="160" t="s">
        <v>1059</v>
      </c>
      <c r="Q68" s="160" t="s">
        <v>1109</v>
      </c>
      <c r="R68" s="162" t="s">
        <v>1450</v>
      </c>
      <c r="S68" s="160" t="s">
        <v>1114</v>
      </c>
      <c r="T68" s="160" t="s">
        <v>1087</v>
      </c>
      <c r="U68" s="160" t="s">
        <v>801</v>
      </c>
      <c r="V68" s="160" t="s">
        <v>1057</v>
      </c>
    </row>
    <row r="69" spans="2:22" ht="11.25">
      <c r="B69" s="161" t="s">
        <v>1057</v>
      </c>
      <c r="C69" s="161" t="s">
        <v>1057</v>
      </c>
      <c r="D69" s="161" t="s">
        <v>1057</v>
      </c>
      <c r="E69" s="161" t="s">
        <v>1057</v>
      </c>
      <c r="F69" s="161" t="s">
        <v>1057</v>
      </c>
      <c r="G69" s="161">
        <v>2</v>
      </c>
      <c r="H69" s="161" t="s">
        <v>1057</v>
      </c>
      <c r="I69" s="161" t="s">
        <v>1057</v>
      </c>
      <c r="J69" s="161" t="s">
        <v>1057</v>
      </c>
      <c r="K69" s="161" t="s">
        <v>1057</v>
      </c>
      <c r="L69" s="160" t="s">
        <v>1057</v>
      </c>
      <c r="M69" s="160" t="s">
        <v>1215</v>
      </c>
      <c r="N69" s="160" t="s">
        <v>811</v>
      </c>
      <c r="O69" s="160" t="s">
        <v>1071</v>
      </c>
      <c r="P69" s="160" t="s">
        <v>1059</v>
      </c>
      <c r="Q69" s="160" t="str">
        <f>CONCATENATE(25+(FLOOR(Data!E25/2,1)*5)," ft.")</f>
        <v>25 ft.</v>
      </c>
      <c r="R69" s="162" t="str">
        <f>CONCATENATE("Target: Metal equipment of ",FLOOR(Data!E25/2,1)," creatures, or ",Data!E25*25," lb. of metal; all within a 30-ft. diameter circle")</f>
        <v>Target: Metal equipment of 0 creatures, or 25 lb. of metal; all within a 30-ft. diameter circle</v>
      </c>
      <c r="S69" s="160" t="s">
        <v>1216</v>
      </c>
      <c r="T69" s="160" t="s">
        <v>1169</v>
      </c>
      <c r="U69" s="160" t="s">
        <v>1217</v>
      </c>
      <c r="V69" s="160" t="s">
        <v>1057</v>
      </c>
    </row>
    <row r="70" spans="2:22" ht="11.25">
      <c r="B70" s="161" t="s">
        <v>1057</v>
      </c>
      <c r="C70" s="161" t="s">
        <v>1057</v>
      </c>
      <c r="D70" s="161" t="s">
        <v>1057</v>
      </c>
      <c r="E70" s="161" t="s">
        <v>1057</v>
      </c>
      <c r="F70" s="161" t="s">
        <v>1057</v>
      </c>
      <c r="G70" s="161" t="s">
        <v>1057</v>
      </c>
      <c r="H70" s="161" t="s">
        <v>1057</v>
      </c>
      <c r="I70" s="161" t="s">
        <v>1057</v>
      </c>
      <c r="J70" s="161">
        <v>0</v>
      </c>
      <c r="K70" s="161">
        <v>0</v>
      </c>
      <c r="L70" s="160" t="s">
        <v>1057</v>
      </c>
      <c r="M70" s="160" t="s">
        <v>814</v>
      </c>
      <c r="N70" s="160" t="s">
        <v>1162</v>
      </c>
      <c r="O70" s="160" t="s">
        <v>1067</v>
      </c>
      <c r="P70" s="160" t="s">
        <v>1059</v>
      </c>
      <c r="Q70" s="160" t="str">
        <f>CONCATENATE(25+(FLOOR(Data!E25/2,1)*5)," ft.")</f>
        <v>25 ft.</v>
      </c>
      <c r="R70" s="162" t="s">
        <v>1326</v>
      </c>
      <c r="S70" s="160" t="s">
        <v>1069</v>
      </c>
      <c r="T70" s="160" t="s">
        <v>1061</v>
      </c>
      <c r="U70" s="160" t="s">
        <v>805</v>
      </c>
      <c r="V70" s="160" t="s">
        <v>1057</v>
      </c>
    </row>
    <row r="71" spans="2:22" ht="11.25">
      <c r="B71" s="161" t="s">
        <v>1057</v>
      </c>
      <c r="C71" s="161" t="s">
        <v>1057</v>
      </c>
      <c r="D71" s="161" t="s">
        <v>1057</v>
      </c>
      <c r="E71" s="161" t="s">
        <v>1057</v>
      </c>
      <c r="F71" s="161" t="s">
        <v>1057</v>
      </c>
      <c r="G71" s="161" t="s">
        <v>1057</v>
      </c>
      <c r="H71" s="161" t="s">
        <v>1057</v>
      </c>
      <c r="I71" s="161" t="s">
        <v>1057</v>
      </c>
      <c r="J71" s="161">
        <v>6</v>
      </c>
      <c r="K71" s="161">
        <v>6</v>
      </c>
      <c r="L71" s="160" t="s">
        <v>1057</v>
      </c>
      <c r="M71" s="160" t="s">
        <v>1219</v>
      </c>
      <c r="N71" s="160" t="s">
        <v>826</v>
      </c>
      <c r="O71" s="160" t="s">
        <v>1091</v>
      </c>
      <c r="P71" s="160" t="s">
        <v>1059</v>
      </c>
      <c r="Q71" s="160" t="str">
        <f>CONCATENATE(100+(10*Data!E25)," ft.")</f>
        <v>110 ft.</v>
      </c>
      <c r="R71" s="162" t="s">
        <v>1220</v>
      </c>
      <c r="S71" s="160" t="s">
        <v>1069</v>
      </c>
      <c r="T71" s="160" t="s">
        <v>1090</v>
      </c>
      <c r="U71" s="160" t="s">
        <v>805</v>
      </c>
      <c r="V71" s="160" t="s">
        <v>1134</v>
      </c>
    </row>
    <row r="72" spans="2:22" ht="11.25">
      <c r="B72" s="161" t="s">
        <v>1057</v>
      </c>
      <c r="C72" s="161">
        <v>4</v>
      </c>
      <c r="D72" s="161">
        <v>3</v>
      </c>
      <c r="E72" s="161" t="s">
        <v>1057</v>
      </c>
      <c r="F72" s="161" t="s">
        <v>1057</v>
      </c>
      <c r="G72" s="161" t="s">
        <v>1057</v>
      </c>
      <c r="H72" s="161" t="s">
        <v>1057</v>
      </c>
      <c r="I72" s="161" t="s">
        <v>1057</v>
      </c>
      <c r="J72" s="161">
        <v>3</v>
      </c>
      <c r="K72" s="161">
        <v>3</v>
      </c>
      <c r="L72" s="160" t="s">
        <v>1222</v>
      </c>
      <c r="M72" s="160" t="s">
        <v>1221</v>
      </c>
      <c r="N72" s="160" t="s">
        <v>822</v>
      </c>
      <c r="O72" s="160" t="s">
        <v>1077</v>
      </c>
      <c r="P72" s="160" t="s">
        <v>1118</v>
      </c>
      <c r="Q72" s="160" t="str">
        <f>CONCATENATE(400+(40*Data!E25)," ft.")</f>
        <v>440 ft.</v>
      </c>
      <c r="R72" s="162" t="s">
        <v>1120</v>
      </c>
      <c r="S72" s="160" t="str">
        <f>CONCATENATE(Data!E25," min. [D]")</f>
        <v>1 min. [D]</v>
      </c>
      <c r="T72" s="160" t="s">
        <v>1061</v>
      </c>
      <c r="U72" s="160" t="s">
        <v>801</v>
      </c>
      <c r="V72" s="160" t="s">
        <v>1057</v>
      </c>
    </row>
    <row r="73" spans="2:22" ht="11.25">
      <c r="B73" s="161" t="s">
        <v>1057</v>
      </c>
      <c r="C73" s="161" t="s">
        <v>1057</v>
      </c>
      <c r="D73" s="161" t="s">
        <v>1057</v>
      </c>
      <c r="E73" s="161" t="s">
        <v>1057</v>
      </c>
      <c r="F73" s="161" t="s">
        <v>1057</v>
      </c>
      <c r="G73" s="161" t="s">
        <v>1057</v>
      </c>
      <c r="H73" s="161" t="s">
        <v>1057</v>
      </c>
      <c r="I73" s="161" t="s">
        <v>1057</v>
      </c>
      <c r="J73" s="161">
        <v>8</v>
      </c>
      <c r="K73" s="161">
        <v>8</v>
      </c>
      <c r="L73" s="160" t="s">
        <v>1224</v>
      </c>
      <c r="M73" s="160" t="s">
        <v>1223</v>
      </c>
      <c r="N73" s="160" t="s">
        <v>1162</v>
      </c>
      <c r="O73" s="160" t="s">
        <v>1077</v>
      </c>
      <c r="P73" s="160" t="s">
        <v>1059</v>
      </c>
      <c r="Q73" s="160" t="str">
        <f>CONCATENATE(100+(10*Data!E25)," ft.")</f>
        <v>110 ft.</v>
      </c>
      <c r="R73" s="162" t="s">
        <v>1225</v>
      </c>
      <c r="S73" s="160" t="str">
        <f>CONCATENATE(Data!E25," rnds [D]")</f>
        <v>1 rnds [D]</v>
      </c>
      <c r="T73" s="160" t="s">
        <v>1061</v>
      </c>
      <c r="U73" s="160" t="s">
        <v>805</v>
      </c>
      <c r="V73" s="160" t="s">
        <v>1057</v>
      </c>
    </row>
    <row r="74" spans="2:22" ht="11.25">
      <c r="B74" s="161" t="s">
        <v>1057</v>
      </c>
      <c r="C74" s="161" t="s">
        <v>1057</v>
      </c>
      <c r="D74" s="161" t="s">
        <v>1057</v>
      </c>
      <c r="E74" s="161" t="s">
        <v>1057</v>
      </c>
      <c r="F74" s="161">
        <v>8</v>
      </c>
      <c r="G74" s="161" t="s">
        <v>1057</v>
      </c>
      <c r="H74" s="161" t="s">
        <v>1057</v>
      </c>
      <c r="I74" s="161" t="s">
        <v>1057</v>
      </c>
      <c r="J74" s="161" t="s">
        <v>1057</v>
      </c>
      <c r="K74" s="161" t="s">
        <v>1057</v>
      </c>
      <c r="L74" s="160" t="s">
        <v>1227</v>
      </c>
      <c r="M74" s="160" t="s">
        <v>1226</v>
      </c>
      <c r="N74" s="160" t="s">
        <v>845</v>
      </c>
      <c r="O74" s="160" t="s">
        <v>1086</v>
      </c>
      <c r="P74" s="160" t="s">
        <v>1059</v>
      </c>
      <c r="Q74" s="160" t="s">
        <v>1228</v>
      </c>
      <c r="R74" s="162" t="str">
        <f>CONCATENATE("Targets: ",Data!E25," creatures in a 20-ft.-radius burst centered on you")</f>
        <v>Targets: 1 creatures in a 20-ft.-radius burst centered on you</v>
      </c>
      <c r="S74" s="160" t="str">
        <f>CONCATENATE(Data!E25," rnds [D]")</f>
        <v>1 rnds [D]</v>
      </c>
      <c r="T74" s="160" t="s">
        <v>1087</v>
      </c>
      <c r="U74" s="160" t="s">
        <v>1073</v>
      </c>
      <c r="V74" s="160" t="s">
        <v>1134</v>
      </c>
    </row>
    <row r="75" spans="2:22" ht="11.25">
      <c r="B75" s="161" t="s">
        <v>1057</v>
      </c>
      <c r="C75" s="161" t="s">
        <v>1057</v>
      </c>
      <c r="D75" s="161" t="s">
        <v>1057</v>
      </c>
      <c r="E75" s="161" t="s">
        <v>1057</v>
      </c>
      <c r="F75" s="161" t="s">
        <v>1057</v>
      </c>
      <c r="G75" s="161" t="s">
        <v>1057</v>
      </c>
      <c r="H75" s="161" t="s">
        <v>1057</v>
      </c>
      <c r="I75" s="161" t="s">
        <v>1057</v>
      </c>
      <c r="J75" s="161">
        <v>8</v>
      </c>
      <c r="K75" s="161">
        <v>8</v>
      </c>
      <c r="L75" s="160" t="s">
        <v>1057</v>
      </c>
      <c r="M75" s="160" t="s">
        <v>1229</v>
      </c>
      <c r="N75" s="160" t="s">
        <v>826</v>
      </c>
      <c r="O75" s="160" t="s">
        <v>1058</v>
      </c>
      <c r="P75" s="160" t="s">
        <v>1118</v>
      </c>
      <c r="Q75" s="160" t="s">
        <v>1124</v>
      </c>
      <c r="R75" s="162" t="s">
        <v>1230</v>
      </c>
      <c r="S75" s="160" t="s">
        <v>1069</v>
      </c>
      <c r="T75" s="160" t="s">
        <v>1061</v>
      </c>
      <c r="U75" s="160" t="s">
        <v>801</v>
      </c>
      <c r="V75" s="160" t="s">
        <v>1088</v>
      </c>
    </row>
    <row r="76" spans="2:22" ht="11.25">
      <c r="B76" s="161" t="s">
        <v>1057</v>
      </c>
      <c r="C76" s="161" t="s">
        <v>1057</v>
      </c>
      <c r="D76" s="161" t="s">
        <v>1057</v>
      </c>
      <c r="E76" s="161" t="s">
        <v>1057</v>
      </c>
      <c r="F76" s="161" t="s">
        <v>1057</v>
      </c>
      <c r="G76" s="161" t="s">
        <v>1057</v>
      </c>
      <c r="H76" s="161" t="s">
        <v>1057</v>
      </c>
      <c r="I76" s="161" t="s">
        <v>1057</v>
      </c>
      <c r="J76" s="161">
        <v>5</v>
      </c>
      <c r="K76" s="161">
        <v>5</v>
      </c>
      <c r="L76" s="160" t="s">
        <v>1057</v>
      </c>
      <c r="M76" s="160" t="s">
        <v>1231</v>
      </c>
      <c r="N76" s="160" t="s">
        <v>815</v>
      </c>
      <c r="O76" s="160" t="s">
        <v>1067</v>
      </c>
      <c r="P76" s="160" t="s">
        <v>1059</v>
      </c>
      <c r="Q76" s="160" t="str">
        <f>CONCATENATE(100+(10*Data!E25)," ft.")</f>
        <v>110 ft.</v>
      </c>
      <c r="R76" s="162" t="s">
        <v>1232</v>
      </c>
      <c r="S76" s="160" t="str">
        <f>CONCATENATE(Data!E25," min.")</f>
        <v>1 min.</v>
      </c>
      <c r="T76" s="160" t="s">
        <v>1087</v>
      </c>
      <c r="U76" s="160" t="s">
        <v>801</v>
      </c>
      <c r="V76" s="160" t="s">
        <v>1057</v>
      </c>
    </row>
    <row r="77" spans="2:22" ht="11.25">
      <c r="B77" s="161">
        <v>0</v>
      </c>
      <c r="C77" s="161" t="s">
        <v>1057</v>
      </c>
      <c r="D77" s="161" t="s">
        <v>1057</v>
      </c>
      <c r="E77" s="161" t="s">
        <v>1057</v>
      </c>
      <c r="F77" s="161" t="s">
        <v>1057</v>
      </c>
      <c r="G77" s="161" t="s">
        <v>1057</v>
      </c>
      <c r="H77" s="161" t="s">
        <v>1057</v>
      </c>
      <c r="I77" s="161" t="s">
        <v>1057</v>
      </c>
      <c r="J77" s="161">
        <v>0</v>
      </c>
      <c r="K77" s="161">
        <v>0</v>
      </c>
      <c r="L77" s="160" t="s">
        <v>1057</v>
      </c>
      <c r="M77" s="160" t="s">
        <v>540</v>
      </c>
      <c r="N77" s="160" t="s">
        <v>826</v>
      </c>
      <c r="O77" s="160" t="s">
        <v>1091</v>
      </c>
      <c r="P77" s="160" t="s">
        <v>1059</v>
      </c>
      <c r="Q77" s="160" t="s">
        <v>799</v>
      </c>
      <c r="R77" s="162" t="s">
        <v>1152</v>
      </c>
      <c r="S77" s="160" t="str">
        <f>CONCATENATE(Data!E25," rnds")</f>
        <v>1 rnds</v>
      </c>
      <c r="T77" s="160" t="s">
        <v>1090</v>
      </c>
      <c r="U77" s="160" t="s">
        <v>805</v>
      </c>
      <c r="V77" s="160" t="s">
        <v>1057</v>
      </c>
    </row>
    <row r="78" spans="2:22" ht="11.25">
      <c r="B78" s="161" t="s">
        <v>1057</v>
      </c>
      <c r="C78" s="161" t="s">
        <v>1057</v>
      </c>
      <c r="D78" s="161">
        <v>1</v>
      </c>
      <c r="E78" s="161" t="s">
        <v>1057</v>
      </c>
      <c r="F78" s="161" t="s">
        <v>1057</v>
      </c>
      <c r="G78" s="161" t="s">
        <v>1057</v>
      </c>
      <c r="H78" s="161" t="s">
        <v>1057</v>
      </c>
      <c r="I78" s="161">
        <v>1</v>
      </c>
      <c r="J78" s="161">
        <v>1</v>
      </c>
      <c r="K78" s="161">
        <v>1</v>
      </c>
      <c r="L78" s="160" t="s">
        <v>1057</v>
      </c>
      <c r="M78" s="160" t="s">
        <v>1076</v>
      </c>
      <c r="N78" s="160" t="s">
        <v>845</v>
      </c>
      <c r="O78" s="160" t="s">
        <v>1077</v>
      </c>
      <c r="P78" s="160" t="s">
        <v>1059</v>
      </c>
      <c r="Q78" s="160" t="str">
        <f>CONCATENATE(25+(FLOOR(Data!E25/2,1)*5)," ft.")</f>
        <v>25 ft.</v>
      </c>
      <c r="R78" s="162" t="s">
        <v>1078</v>
      </c>
      <c r="S78" s="160" t="str">
        <f>CONCATENATE(Data!E25*2," hours [D]")</f>
        <v>2 hours [D]</v>
      </c>
      <c r="T78" s="160" t="s">
        <v>1061</v>
      </c>
      <c r="U78" s="160" t="s">
        <v>801</v>
      </c>
      <c r="V78" s="160" t="s">
        <v>1057</v>
      </c>
    </row>
    <row r="79" spans="2:22" ht="11.25">
      <c r="B79" s="161" t="s">
        <v>1057</v>
      </c>
      <c r="C79" s="161" t="s">
        <v>1057</v>
      </c>
      <c r="D79" s="161" t="s">
        <v>1057</v>
      </c>
      <c r="E79" s="161" t="s">
        <v>1057</v>
      </c>
      <c r="F79" s="161" t="s">
        <v>1057</v>
      </c>
      <c r="G79" s="161">
        <v>4</v>
      </c>
      <c r="H79" s="161" t="s">
        <v>1057</v>
      </c>
      <c r="I79" s="161">
        <v>3</v>
      </c>
      <c r="J79" s="161" t="s">
        <v>1057</v>
      </c>
      <c r="K79" s="161" t="s">
        <v>1057</v>
      </c>
      <c r="L79" s="160" t="s">
        <v>1235</v>
      </c>
      <c r="M79" s="160" t="s">
        <v>1234</v>
      </c>
      <c r="N79" s="160" t="s">
        <v>811</v>
      </c>
      <c r="O79" s="160" t="s">
        <v>1104</v>
      </c>
      <c r="P79" s="160" t="s">
        <v>1059</v>
      </c>
      <c r="Q79" s="160" t="str">
        <f>CONCATENATE(25+(FLOOR(Data!E25/2,1)*5)," ft.")</f>
        <v>25 ft.</v>
      </c>
      <c r="R79" s="162" t="str">
        <f>CONCATENATE("Targets: Up to ",Data!E25," HD of plant creatures within 30 ft. of each other")</f>
        <v>Targets: Up to 1 HD of plant creatures within 30 ft. of each other</v>
      </c>
      <c r="S79" s="160" t="str">
        <f>CONCATENATE(Data!E25," days")</f>
        <v>1 days</v>
      </c>
      <c r="T79" s="160" t="s">
        <v>1141</v>
      </c>
      <c r="U79" s="160" t="s">
        <v>805</v>
      </c>
      <c r="V79" s="160" t="s">
        <v>1057</v>
      </c>
    </row>
    <row r="80" spans="2:22" ht="11.25">
      <c r="B80" s="161" t="s">
        <v>1057</v>
      </c>
      <c r="C80" s="161" t="s">
        <v>1057</v>
      </c>
      <c r="D80" s="161">
        <v>1</v>
      </c>
      <c r="E80" s="161" t="s">
        <v>1057</v>
      </c>
      <c r="F80" s="161" t="s">
        <v>1057</v>
      </c>
      <c r="G80" s="161" t="s">
        <v>1057</v>
      </c>
      <c r="H80" s="161" t="s">
        <v>1057</v>
      </c>
      <c r="I80" s="161" t="s">
        <v>1057</v>
      </c>
      <c r="J80" s="161">
        <v>1</v>
      </c>
      <c r="K80" s="161">
        <v>1</v>
      </c>
      <c r="L80" s="160" t="s">
        <v>1057</v>
      </c>
      <c r="M80" s="160" t="s">
        <v>1105</v>
      </c>
      <c r="N80" s="160" t="s">
        <v>811</v>
      </c>
      <c r="O80" s="160" t="s">
        <v>1067</v>
      </c>
      <c r="P80" s="160" t="s">
        <v>1059</v>
      </c>
      <c r="Q80" s="160" t="str">
        <f>CONCATENATE(100+(10*Data!E25)," ft.")</f>
        <v>110 ft.</v>
      </c>
      <c r="R80" s="162" t="str">
        <f>CONCATENATE("Target: One ropelike object, length up to ",50+(Data!E25*5)," ft.; see text")</f>
        <v>Target: One ropelike object, length up to 55 ft.; see text</v>
      </c>
      <c r="S80" s="160" t="str">
        <f>CONCATENATE(Data!E25," rnds")</f>
        <v>1 rnds</v>
      </c>
      <c r="T80" s="160" t="s">
        <v>1061</v>
      </c>
      <c r="U80" s="160" t="s">
        <v>801</v>
      </c>
      <c r="V80" s="160" t="s">
        <v>1057</v>
      </c>
    </row>
    <row r="81" spans="2:22" ht="11.25">
      <c r="B81" s="161" t="s">
        <v>1057</v>
      </c>
      <c r="C81" s="161" t="s">
        <v>1057</v>
      </c>
      <c r="D81" s="161" t="s">
        <v>1057</v>
      </c>
      <c r="E81" s="161" t="s">
        <v>1057</v>
      </c>
      <c r="F81" s="161">
        <v>5</v>
      </c>
      <c r="G81" s="161" t="s">
        <v>1057</v>
      </c>
      <c r="H81" s="161" t="s">
        <v>1057</v>
      </c>
      <c r="I81" s="161" t="s">
        <v>1057</v>
      </c>
      <c r="J81" s="161" t="s">
        <v>1057</v>
      </c>
      <c r="K81" s="161" t="s">
        <v>1057</v>
      </c>
      <c r="L81" s="160" t="s">
        <v>1057</v>
      </c>
      <c r="M81" s="160" t="s">
        <v>1238</v>
      </c>
      <c r="N81" s="160" t="s">
        <v>804</v>
      </c>
      <c r="O81" s="160" t="s">
        <v>1104</v>
      </c>
      <c r="P81" s="160" t="s">
        <v>1059</v>
      </c>
      <c r="Q81" s="160" t="str">
        <f>CONCATENATE(25+(FLOOR(Data!E25/2,1)*5)," ft.")</f>
        <v>25 ft.</v>
      </c>
      <c r="R81" s="162" t="str">
        <f>CONCATENATE("Targets: ",Data!E25," creatures within 30 ft. of each other")</f>
        <v>Targets: 1 creatures within 30 ft. of each other</v>
      </c>
      <c r="S81" s="160" t="str">
        <f>CONCATENATE(Data!E25," rnds")</f>
        <v>1 rnds</v>
      </c>
      <c r="T81" s="160" t="s">
        <v>1141</v>
      </c>
      <c r="U81" s="160" t="s">
        <v>805</v>
      </c>
      <c r="V81" s="160" t="s">
        <v>1057</v>
      </c>
    </row>
    <row r="82" spans="2:22" ht="11.25">
      <c r="B82" s="161">
        <v>5</v>
      </c>
      <c r="C82" s="161" t="s">
        <v>1057</v>
      </c>
      <c r="D82" s="161" t="s">
        <v>1057</v>
      </c>
      <c r="E82" s="161" t="s">
        <v>1057</v>
      </c>
      <c r="F82" s="161">
        <v>5</v>
      </c>
      <c r="G82" s="161" t="s">
        <v>1057</v>
      </c>
      <c r="H82" s="161" t="s">
        <v>1057</v>
      </c>
      <c r="I82" s="161" t="s">
        <v>1057</v>
      </c>
      <c r="J82" s="161" t="s">
        <v>1057</v>
      </c>
      <c r="K82" s="161" t="s">
        <v>1057</v>
      </c>
      <c r="L82" s="160" t="s">
        <v>1057</v>
      </c>
      <c r="M82" s="160" t="s">
        <v>1239</v>
      </c>
      <c r="N82" s="160" t="s">
        <v>822</v>
      </c>
      <c r="O82" s="160" t="s">
        <v>1240</v>
      </c>
      <c r="P82" s="160" t="s">
        <v>1118</v>
      </c>
      <c r="Q82" s="160" t="s">
        <v>817</v>
      </c>
      <c r="R82" s="162" t="s">
        <v>1084</v>
      </c>
      <c r="S82" s="160" t="str">
        <f>CONCATENATE(Data!E25," rnds")</f>
        <v>1 rnds</v>
      </c>
      <c r="T82" s="160" t="s">
        <v>1061</v>
      </c>
      <c r="U82" s="160" t="s">
        <v>801</v>
      </c>
      <c r="V82" s="160" t="s">
        <v>1241</v>
      </c>
    </row>
    <row r="83" spans="2:22" ht="11.25">
      <c r="B83" s="161" t="s">
        <v>1057</v>
      </c>
      <c r="C83" s="161" t="s">
        <v>1057</v>
      </c>
      <c r="D83" s="161" t="s">
        <v>1057</v>
      </c>
      <c r="E83" s="161" t="s">
        <v>1057</v>
      </c>
      <c r="F83" s="161" t="s">
        <v>1057</v>
      </c>
      <c r="G83" s="161">
        <v>5</v>
      </c>
      <c r="H83" s="161" t="s">
        <v>1057</v>
      </c>
      <c r="I83" s="161">
        <v>4</v>
      </c>
      <c r="J83" s="161" t="s">
        <v>1057</v>
      </c>
      <c r="K83" s="161" t="s">
        <v>1057</v>
      </c>
      <c r="L83" s="160" t="s">
        <v>1243</v>
      </c>
      <c r="M83" s="160" t="s">
        <v>1242</v>
      </c>
      <c r="N83" s="160" t="s">
        <v>822</v>
      </c>
      <c r="O83" s="160" t="s">
        <v>1067</v>
      </c>
      <c r="P83" s="160" t="s">
        <v>1118</v>
      </c>
      <c r="Q83" s="160" t="s">
        <v>817</v>
      </c>
      <c r="R83" s="162" t="s">
        <v>1084</v>
      </c>
      <c r="S83" s="160" t="s">
        <v>1069</v>
      </c>
      <c r="T83" s="160" t="s">
        <v>1061</v>
      </c>
      <c r="U83" s="160" t="s">
        <v>801</v>
      </c>
      <c r="V83" s="160" t="s">
        <v>1057</v>
      </c>
    </row>
    <row r="84" spans="2:22" ht="11.25">
      <c r="B84" s="161" t="s">
        <v>1057</v>
      </c>
      <c r="C84" s="161" t="s">
        <v>1057</v>
      </c>
      <c r="D84" s="161" t="s">
        <v>1057</v>
      </c>
      <c r="E84" s="161" t="s">
        <v>1057</v>
      </c>
      <c r="F84" s="161">
        <v>0</v>
      </c>
      <c r="G84" s="161">
        <v>0</v>
      </c>
      <c r="H84" s="161">
        <v>1</v>
      </c>
      <c r="I84" s="161" t="s">
        <v>1057</v>
      </c>
      <c r="J84" s="161" t="s">
        <v>1057</v>
      </c>
      <c r="K84" s="161" t="s">
        <v>1057</v>
      </c>
      <c r="L84" s="160" t="s">
        <v>1057</v>
      </c>
      <c r="M84" s="160" t="s">
        <v>827</v>
      </c>
      <c r="N84" s="160" t="s">
        <v>811</v>
      </c>
      <c r="O84" s="160" t="s">
        <v>1071</v>
      </c>
      <c r="P84" s="160" t="s">
        <v>1059</v>
      </c>
      <c r="Q84" s="160" t="s">
        <v>799</v>
      </c>
      <c r="R84" s="162" t="s">
        <v>1152</v>
      </c>
      <c r="S84" s="160" t="str">
        <f>CONCATENATE(Data!E25," min.")</f>
        <v>1 min.</v>
      </c>
      <c r="T84" s="160" t="s">
        <v>1300</v>
      </c>
      <c r="U84" s="160" t="s">
        <v>1073</v>
      </c>
      <c r="V84" s="160" t="s">
        <v>1057</v>
      </c>
    </row>
    <row r="85" spans="2:22" ht="11.25">
      <c r="B85" s="161" t="s">
        <v>1057</v>
      </c>
      <c r="C85" s="161" t="s">
        <v>1057</v>
      </c>
      <c r="D85" s="161" t="s">
        <v>1057</v>
      </c>
      <c r="E85" s="161" t="s">
        <v>1057</v>
      </c>
      <c r="F85" s="161" t="s">
        <v>1057</v>
      </c>
      <c r="G85" s="161" t="s">
        <v>1057</v>
      </c>
      <c r="H85" s="161" t="s">
        <v>1057</v>
      </c>
      <c r="I85" s="161" t="s">
        <v>1057</v>
      </c>
      <c r="J85" s="161">
        <v>5</v>
      </c>
      <c r="K85" s="161">
        <v>5</v>
      </c>
      <c r="L85" s="160" t="s">
        <v>1245</v>
      </c>
      <c r="M85" s="160" t="s">
        <v>1244</v>
      </c>
      <c r="N85" s="160" t="s">
        <v>1162</v>
      </c>
      <c r="O85" s="160" t="s">
        <v>1064</v>
      </c>
      <c r="P85" s="160" t="s">
        <v>1059</v>
      </c>
      <c r="Q85" s="160" t="s">
        <v>1246</v>
      </c>
      <c r="R85" s="162" t="s">
        <v>1187</v>
      </c>
      <c r="S85" s="160" t="s">
        <v>1069</v>
      </c>
      <c r="T85" s="160" t="s">
        <v>1188</v>
      </c>
      <c r="U85" s="160" t="s">
        <v>805</v>
      </c>
      <c r="V85" s="160" t="s">
        <v>1057</v>
      </c>
    </row>
    <row r="86" spans="2:22" ht="11.25">
      <c r="B86" s="161" t="s">
        <v>1057</v>
      </c>
      <c r="C86" s="161" t="s">
        <v>1057</v>
      </c>
      <c r="D86" s="161">
        <v>3</v>
      </c>
      <c r="E86" s="161" t="s">
        <v>1057</v>
      </c>
      <c r="F86" s="161" t="s">
        <v>1057</v>
      </c>
      <c r="G86" s="161" t="s">
        <v>1057</v>
      </c>
      <c r="H86" s="161" t="s">
        <v>1057</v>
      </c>
      <c r="I86" s="161" t="s">
        <v>1057</v>
      </c>
      <c r="J86" s="161">
        <v>4</v>
      </c>
      <c r="K86" s="161">
        <v>4</v>
      </c>
      <c r="L86" s="160" t="s">
        <v>1248</v>
      </c>
      <c r="M86" s="160" t="s">
        <v>1247</v>
      </c>
      <c r="N86" s="160" t="s">
        <v>804</v>
      </c>
      <c r="O86" s="160" t="s">
        <v>1064</v>
      </c>
      <c r="P86" s="160" t="s">
        <v>1059</v>
      </c>
      <c r="Q86" s="160" t="str">
        <f>CONCATENATE(100+(10*Data!E25)," ft.")</f>
        <v>110 ft.</v>
      </c>
      <c r="R86" s="162" t="s">
        <v>1249</v>
      </c>
      <c r="S86" s="160" t="str">
        <f>CONCATENATE(Data!E25," rnds")</f>
        <v>1 rnds</v>
      </c>
      <c r="T86" s="160" t="s">
        <v>1141</v>
      </c>
      <c r="U86" s="160" t="s">
        <v>805</v>
      </c>
      <c r="V86" s="160" t="s">
        <v>1057</v>
      </c>
    </row>
    <row r="87" spans="2:22" ht="11.25">
      <c r="B87" s="161" t="s">
        <v>1057</v>
      </c>
      <c r="C87" s="161" t="s">
        <v>1057</v>
      </c>
      <c r="D87" s="161">
        <v>1</v>
      </c>
      <c r="E87" s="161" t="s">
        <v>1057</v>
      </c>
      <c r="F87" s="161" t="s">
        <v>1057</v>
      </c>
      <c r="G87" s="161" t="s">
        <v>1057</v>
      </c>
      <c r="H87" s="161" t="s">
        <v>1057</v>
      </c>
      <c r="I87" s="161" t="s">
        <v>1057</v>
      </c>
      <c r="J87" s="161" t="s">
        <v>1057</v>
      </c>
      <c r="K87" s="161" t="s">
        <v>1057</v>
      </c>
      <c r="L87" s="160" t="s">
        <v>1057</v>
      </c>
      <c r="M87" s="160" t="s">
        <v>1250</v>
      </c>
      <c r="N87" s="160" t="s">
        <v>804</v>
      </c>
      <c r="O87" s="160" t="s">
        <v>1071</v>
      </c>
      <c r="P87" s="160" t="s">
        <v>1059</v>
      </c>
      <c r="Q87" s="160" t="str">
        <f>CONCATENATE(25+(FLOOR(Data!E25/2,1)*5)," ft.")</f>
        <v>25 ft.</v>
      </c>
      <c r="R87" s="162" t="s">
        <v>1156</v>
      </c>
      <c r="S87" s="160" t="s">
        <v>1108</v>
      </c>
      <c r="T87" s="160" t="s">
        <v>1061</v>
      </c>
      <c r="U87" s="160" t="s">
        <v>801</v>
      </c>
      <c r="V87" s="160" t="s">
        <v>1057</v>
      </c>
    </row>
    <row r="88" spans="2:22" ht="11.25">
      <c r="B88" s="161" t="s">
        <v>1057</v>
      </c>
      <c r="C88" s="161" t="s">
        <v>1057</v>
      </c>
      <c r="D88" s="161" t="s">
        <v>1057</v>
      </c>
      <c r="E88" s="161" t="s">
        <v>1057</v>
      </c>
      <c r="F88" s="161">
        <v>1</v>
      </c>
      <c r="G88" s="161" t="s">
        <v>1057</v>
      </c>
      <c r="H88" s="161" t="s">
        <v>1057</v>
      </c>
      <c r="I88" s="161" t="s">
        <v>1057</v>
      </c>
      <c r="J88" s="161" t="s">
        <v>1057</v>
      </c>
      <c r="K88" s="161" t="s">
        <v>1057</v>
      </c>
      <c r="L88" s="160" t="s">
        <v>1057</v>
      </c>
      <c r="M88" s="160" t="s">
        <v>828</v>
      </c>
      <c r="N88" s="160" t="s">
        <v>804</v>
      </c>
      <c r="O88" s="160" t="s">
        <v>1071</v>
      </c>
      <c r="P88" s="160" t="s">
        <v>1059</v>
      </c>
      <c r="Q88" s="160" t="s">
        <v>1145</v>
      </c>
      <c r="R88" s="162" t="s">
        <v>1146</v>
      </c>
      <c r="S88" s="160" t="str">
        <f>CONCATENATE(Data!E25," min.")</f>
        <v>1 min.</v>
      </c>
      <c r="T88" s="160" t="s">
        <v>1141</v>
      </c>
      <c r="U88" s="160" t="s">
        <v>805</v>
      </c>
      <c r="V88" s="160" t="s">
        <v>1057</v>
      </c>
    </row>
    <row r="89" spans="2:22" ht="11.25">
      <c r="B89" s="161" t="s">
        <v>1057</v>
      </c>
      <c r="C89" s="161" t="s">
        <v>1057</v>
      </c>
      <c r="D89" s="161" t="s">
        <v>1057</v>
      </c>
      <c r="E89" s="161" t="s">
        <v>1057</v>
      </c>
      <c r="F89" s="161" t="s">
        <v>1057</v>
      </c>
      <c r="G89" s="161" t="s">
        <v>1057</v>
      </c>
      <c r="H89" s="161" t="s">
        <v>1057</v>
      </c>
      <c r="I89" s="161" t="s">
        <v>1057</v>
      </c>
      <c r="J89" s="161">
        <v>5</v>
      </c>
      <c r="K89" s="161">
        <v>5</v>
      </c>
      <c r="L89" s="160" t="s">
        <v>1057</v>
      </c>
      <c r="M89" s="160" t="s">
        <v>1253</v>
      </c>
      <c r="N89" s="160" t="s">
        <v>822</v>
      </c>
      <c r="O89" s="160" t="s">
        <v>1104</v>
      </c>
      <c r="P89" s="160" t="s">
        <v>1118</v>
      </c>
      <c r="Q89" s="160" t="s">
        <v>817</v>
      </c>
      <c r="R89" s="162" t="s">
        <v>1084</v>
      </c>
      <c r="S89" s="160" t="s">
        <v>1097</v>
      </c>
      <c r="T89" s="160" t="s">
        <v>1061</v>
      </c>
      <c r="U89" s="160" t="s">
        <v>801</v>
      </c>
      <c r="V89" s="160" t="s">
        <v>1057</v>
      </c>
    </row>
    <row r="90" spans="2:22" ht="11.25">
      <c r="B90" s="161">
        <v>3</v>
      </c>
      <c r="C90" s="161" t="s">
        <v>1057</v>
      </c>
      <c r="D90" s="161" t="s">
        <v>1057</v>
      </c>
      <c r="E90" s="161">
        <v>3</v>
      </c>
      <c r="F90" s="161">
        <v>3</v>
      </c>
      <c r="G90" s="161">
        <v>3</v>
      </c>
      <c r="H90" s="161" t="s">
        <v>1057</v>
      </c>
      <c r="I90" s="161" t="s">
        <v>1057</v>
      </c>
      <c r="J90" s="161">
        <v>4</v>
      </c>
      <c r="K90" s="161">
        <v>4</v>
      </c>
      <c r="L90" s="160" t="s">
        <v>1254</v>
      </c>
      <c r="M90" s="160" t="s">
        <v>882</v>
      </c>
      <c r="N90" s="160" t="s">
        <v>826</v>
      </c>
      <c r="O90" s="160" t="s">
        <v>1067</v>
      </c>
      <c r="P90" s="160" t="s">
        <v>1059</v>
      </c>
      <c r="Q90" s="160" t="s">
        <v>799</v>
      </c>
      <c r="R90" s="162" t="s">
        <v>1072</v>
      </c>
      <c r="S90" s="160" t="s">
        <v>1069</v>
      </c>
      <c r="T90" s="160" t="s">
        <v>1090</v>
      </c>
      <c r="U90" s="160" t="s">
        <v>805</v>
      </c>
      <c r="V90" s="160" t="s">
        <v>1057</v>
      </c>
    </row>
    <row r="91" spans="2:22" ht="11.25">
      <c r="B91" s="161" t="s">
        <v>1057</v>
      </c>
      <c r="C91" s="161" t="s">
        <v>1057</v>
      </c>
      <c r="D91" s="161" t="s">
        <v>1057</v>
      </c>
      <c r="E91" s="161" t="s">
        <v>1057</v>
      </c>
      <c r="F91" s="161" t="s">
        <v>1057</v>
      </c>
      <c r="G91" s="161" t="s">
        <v>1057</v>
      </c>
      <c r="H91" s="161" t="s">
        <v>1057</v>
      </c>
      <c r="I91" s="161" t="s">
        <v>1057</v>
      </c>
      <c r="J91" s="161">
        <v>6</v>
      </c>
      <c r="K91" s="161">
        <v>6</v>
      </c>
      <c r="L91" s="160" t="s">
        <v>1057</v>
      </c>
      <c r="M91" s="160" t="s">
        <v>1255</v>
      </c>
      <c r="N91" s="160" t="s">
        <v>1162</v>
      </c>
      <c r="O91" s="160" t="s">
        <v>1058</v>
      </c>
      <c r="P91" s="160" t="s">
        <v>1087</v>
      </c>
      <c r="Q91" s="160" t="s">
        <v>817</v>
      </c>
      <c r="R91" s="162" t="s">
        <v>1084</v>
      </c>
      <c r="S91" s="160" t="str">
        <f>CONCATENATE(Data!E25," days [D] or until dis.")</f>
        <v>1 days [D] or until dis.</v>
      </c>
      <c r="T91" s="160" t="s">
        <v>1061</v>
      </c>
      <c r="U91" s="160" t="s">
        <v>801</v>
      </c>
      <c r="V91" s="160" t="s">
        <v>1088</v>
      </c>
    </row>
    <row r="92" spans="2:22" ht="11.25">
      <c r="B92" s="161">
        <v>1</v>
      </c>
      <c r="C92" s="161" t="s">
        <v>1057</v>
      </c>
      <c r="D92" s="161" t="s">
        <v>1057</v>
      </c>
      <c r="E92" s="161" t="s">
        <v>1057</v>
      </c>
      <c r="F92" s="161" t="s">
        <v>1057</v>
      </c>
      <c r="G92" s="161" t="s">
        <v>1057</v>
      </c>
      <c r="H92" s="161" t="s">
        <v>1057</v>
      </c>
      <c r="I92" s="161" t="s">
        <v>1057</v>
      </c>
      <c r="J92" s="161">
        <v>1</v>
      </c>
      <c r="K92" s="161">
        <v>1</v>
      </c>
      <c r="L92" s="160" t="s">
        <v>1185</v>
      </c>
      <c r="M92" s="160" t="s">
        <v>1184</v>
      </c>
      <c r="N92" s="160" t="s">
        <v>1162</v>
      </c>
      <c r="O92" s="160" t="s">
        <v>1067</v>
      </c>
      <c r="P92" s="160" t="s">
        <v>1059</v>
      </c>
      <c r="Q92" s="160" t="s">
        <v>1186</v>
      </c>
      <c r="R92" s="162" t="s">
        <v>1187</v>
      </c>
      <c r="S92" s="160" t="s">
        <v>1069</v>
      </c>
      <c r="T92" s="160" t="s">
        <v>1188</v>
      </c>
      <c r="U92" s="160" t="s">
        <v>805</v>
      </c>
      <c r="V92" s="160" t="s">
        <v>1057</v>
      </c>
    </row>
    <row r="93" spans="2:22" ht="11.25">
      <c r="B93" s="161" t="s">
        <v>1057</v>
      </c>
      <c r="C93" s="161" t="s">
        <v>1057</v>
      </c>
      <c r="D93" s="161" t="s">
        <v>1057</v>
      </c>
      <c r="E93" s="161" t="s">
        <v>1057</v>
      </c>
      <c r="F93" s="161" t="s">
        <v>1057</v>
      </c>
      <c r="G93" s="161">
        <v>8</v>
      </c>
      <c r="H93" s="161" t="s">
        <v>1057</v>
      </c>
      <c r="I93" s="161" t="s">
        <v>1057</v>
      </c>
      <c r="J93" s="161" t="s">
        <v>1057</v>
      </c>
      <c r="K93" s="161" t="s">
        <v>1057</v>
      </c>
      <c r="L93" s="160" t="s">
        <v>1258</v>
      </c>
      <c r="M93" s="160" t="s">
        <v>1257</v>
      </c>
      <c r="N93" s="160" t="s">
        <v>811</v>
      </c>
      <c r="O93" s="160" t="s">
        <v>1071</v>
      </c>
      <c r="P93" s="160" t="s">
        <v>1059</v>
      </c>
      <c r="Q93" s="160" t="str">
        <f>CONCATENATE(25+(FLOOR(Data!E25/2,1)*5)," ft.")</f>
        <v>25 ft.</v>
      </c>
      <c r="R93" s="162" t="str">
        <f>CONCATENATE("Targets: ",Data!E25*2," HD of plant creatures within 30 ft. of each other")</f>
        <v>Targets: 2 HD of plant creatures within 30 ft. of each other</v>
      </c>
      <c r="S93" s="160" t="str">
        <f>CONCATENATE(Data!E25," min.")</f>
        <v>1 min.</v>
      </c>
      <c r="T93" s="160" t="s">
        <v>1141</v>
      </c>
      <c r="U93" s="160" t="s">
        <v>801</v>
      </c>
      <c r="V93" s="160" t="s">
        <v>1057</v>
      </c>
    </row>
    <row r="94" spans="2:22" ht="11.25">
      <c r="B94" s="161" t="s">
        <v>1057</v>
      </c>
      <c r="C94" s="161" t="s">
        <v>1057</v>
      </c>
      <c r="D94" s="161" t="s">
        <v>1057</v>
      </c>
      <c r="E94" s="161" t="s">
        <v>1057</v>
      </c>
      <c r="F94" s="161" t="s">
        <v>1057</v>
      </c>
      <c r="G94" s="161" t="s">
        <v>1057</v>
      </c>
      <c r="H94" s="161" t="s">
        <v>1057</v>
      </c>
      <c r="I94" s="161" t="s">
        <v>1057</v>
      </c>
      <c r="J94" s="161">
        <v>7</v>
      </c>
      <c r="K94" s="161">
        <v>7</v>
      </c>
      <c r="L94" s="160" t="s">
        <v>1057</v>
      </c>
      <c r="M94" s="160" t="s">
        <v>1259</v>
      </c>
      <c r="N94" s="160" t="s">
        <v>826</v>
      </c>
      <c r="O94" s="160" t="s">
        <v>1091</v>
      </c>
      <c r="P94" s="160" t="s">
        <v>1059</v>
      </c>
      <c r="Q94" s="160" t="str">
        <f>CONCATENATE(25+(FLOOR(Data!E25/2,1)*5)," ft.")</f>
        <v>25 ft.</v>
      </c>
      <c r="R94" s="162" t="str">
        <f>CONCATENATE("Targets: ",Data!E25*2," HD of undead creatures within 30 ft. of each other")</f>
        <v>Targets: 2 HD of undead creatures within 30 ft. of each other</v>
      </c>
      <c r="S94" s="160" t="str">
        <f>CONCATENATE(Data!E25," min.")</f>
        <v>1 min.</v>
      </c>
      <c r="T94" s="160" t="s">
        <v>1141</v>
      </c>
      <c r="U94" s="160" t="s">
        <v>805</v>
      </c>
      <c r="V94" s="160" t="s">
        <v>1057</v>
      </c>
    </row>
    <row r="95" spans="2:22" ht="11.25">
      <c r="B95" s="161" t="s">
        <v>1057</v>
      </c>
      <c r="C95" s="161" t="s">
        <v>1057</v>
      </c>
      <c r="D95" s="161" t="s">
        <v>1057</v>
      </c>
      <c r="E95" s="161" t="s">
        <v>1057</v>
      </c>
      <c r="F95" s="161">
        <v>4</v>
      </c>
      <c r="G95" s="161">
        <v>4</v>
      </c>
      <c r="H95" s="161" t="s">
        <v>1057</v>
      </c>
      <c r="I95" s="161" t="s">
        <v>1057</v>
      </c>
      <c r="J95" s="161">
        <v>6</v>
      </c>
      <c r="K95" s="161">
        <v>6</v>
      </c>
      <c r="L95" s="160" t="s">
        <v>1260</v>
      </c>
      <c r="M95" s="160" t="s">
        <v>914</v>
      </c>
      <c r="N95" s="160" t="s">
        <v>811</v>
      </c>
      <c r="O95" s="160" t="s">
        <v>1064</v>
      </c>
      <c r="P95" s="160" t="s">
        <v>1059</v>
      </c>
      <c r="Q95" s="160" t="str">
        <f>CONCATENATE(400+(40*Data!E25)," ft.")</f>
        <v>440 ft.</v>
      </c>
      <c r="R95" s="162" t="str">
        <f>CONCATENATE("Area: Water in a volume of ",Data!E25*10," ft by ",Data!E25*10," ft by ",Data!E25*2," ft (S)")</f>
        <v>Area: Water in a volume of 10 ft by 10 ft by 2 ft (S)</v>
      </c>
      <c r="S95" s="160" t="str">
        <f>CONCATENATE(Data!E25*10," min. [D]")</f>
        <v>10 min. [D]</v>
      </c>
      <c r="T95" s="160" t="s">
        <v>1087</v>
      </c>
      <c r="U95" s="160" t="s">
        <v>801</v>
      </c>
      <c r="V95" s="160" t="s">
        <v>1057</v>
      </c>
    </row>
    <row r="96" spans="2:22" ht="11.25">
      <c r="B96" s="161" t="s">
        <v>1057</v>
      </c>
      <c r="C96" s="161" t="s">
        <v>1057</v>
      </c>
      <c r="D96" s="161" t="s">
        <v>1057</v>
      </c>
      <c r="E96" s="161" t="s">
        <v>1057</v>
      </c>
      <c r="F96" s="161">
        <v>7</v>
      </c>
      <c r="G96" s="161">
        <v>7</v>
      </c>
      <c r="H96" s="161" t="s">
        <v>1057</v>
      </c>
      <c r="I96" s="161" t="s">
        <v>1057</v>
      </c>
      <c r="J96" s="161">
        <v>7</v>
      </c>
      <c r="K96" s="161">
        <v>7</v>
      </c>
      <c r="L96" s="160" t="s">
        <v>1262</v>
      </c>
      <c r="M96" s="160" t="s">
        <v>1261</v>
      </c>
      <c r="N96" s="160" t="s">
        <v>811</v>
      </c>
      <c r="O96" s="160" t="s">
        <v>1067</v>
      </c>
      <c r="P96" s="160" t="s">
        <v>1087</v>
      </c>
      <c r="Q96" s="160" t="s">
        <v>1263</v>
      </c>
      <c r="R96" s="162" t="s">
        <v>1264</v>
      </c>
      <c r="S96" s="160" t="s">
        <v>1087</v>
      </c>
      <c r="T96" s="160" t="s">
        <v>1061</v>
      </c>
      <c r="U96" s="160" t="s">
        <v>801</v>
      </c>
      <c r="V96" s="160" t="s">
        <v>1057</v>
      </c>
    </row>
    <row r="97" spans="2:22" ht="11.25">
      <c r="B97" s="161" t="s">
        <v>1057</v>
      </c>
      <c r="C97" s="161" t="s">
        <v>1057</v>
      </c>
      <c r="D97" s="161" t="s">
        <v>1057</v>
      </c>
      <c r="E97" s="161" t="s">
        <v>1057</v>
      </c>
      <c r="F97" s="161" t="s">
        <v>1057</v>
      </c>
      <c r="G97" s="161">
        <v>5</v>
      </c>
      <c r="H97" s="161" t="s">
        <v>1057</v>
      </c>
      <c r="I97" s="161" t="s">
        <v>1057</v>
      </c>
      <c r="J97" s="161" t="s">
        <v>1057</v>
      </c>
      <c r="K97" s="161" t="s">
        <v>1057</v>
      </c>
      <c r="L97" s="160" t="s">
        <v>1266</v>
      </c>
      <c r="M97" s="160" t="s">
        <v>1265</v>
      </c>
      <c r="N97" s="160" t="s">
        <v>811</v>
      </c>
      <c r="O97" s="160" t="s">
        <v>1067</v>
      </c>
      <c r="P97" s="160" t="s">
        <v>1059</v>
      </c>
      <c r="Q97" s="160" t="str">
        <f>CONCATENATE(Data!E25*40," miles")</f>
        <v>40 miles</v>
      </c>
      <c r="R97" s="162" t="str">
        <f>CONCATENATE("Area: ",Data!E25*40," ft radius cylinder 40 ft. high")</f>
        <v>Area: 40 ft radius cylinder 40 ft. high</v>
      </c>
      <c r="S97" s="160" t="str">
        <f>CONCATENATE(Data!E25*10," min.")</f>
        <v>10 min.</v>
      </c>
      <c r="T97" s="160" t="s">
        <v>1090</v>
      </c>
      <c r="U97" s="160" t="s">
        <v>801</v>
      </c>
      <c r="V97" s="160" t="s">
        <v>1057</v>
      </c>
    </row>
    <row r="98" spans="2:22" ht="11.25">
      <c r="B98" s="161" t="s">
        <v>1057</v>
      </c>
      <c r="C98" s="161" t="s">
        <v>1057</v>
      </c>
      <c r="D98" s="161" t="s">
        <v>1057</v>
      </c>
      <c r="E98" s="161" t="s">
        <v>1057</v>
      </c>
      <c r="F98" s="161">
        <v>3</v>
      </c>
      <c r="G98" s="161" t="s">
        <v>1057</v>
      </c>
      <c r="H98" s="161" t="s">
        <v>1057</v>
      </c>
      <c r="I98" s="161" t="s">
        <v>1057</v>
      </c>
      <c r="J98" s="161" t="s">
        <v>1057</v>
      </c>
      <c r="K98" s="161" t="s">
        <v>1057</v>
      </c>
      <c r="L98" s="160" t="s">
        <v>1057</v>
      </c>
      <c r="M98" s="160" t="s">
        <v>884</v>
      </c>
      <c r="N98" s="160" t="s">
        <v>815</v>
      </c>
      <c r="O98" s="160" t="s">
        <v>1067</v>
      </c>
      <c r="P98" s="160" t="s">
        <v>1118</v>
      </c>
      <c r="Q98" s="160" t="str">
        <f>CONCATENATE(25+(FLOOR(Data!E25/2,1)*5)," ft.")</f>
        <v>25 ft.</v>
      </c>
      <c r="R98" s="162" t="str">
        <f>CONCATENATE("Effect: Food and water to sustain ",Data!E25*3," humans or ",Data!E25," horses for 24 hours")</f>
        <v>Effect: Food and water to sustain 3 humans or 1 horses for 24 hours</v>
      </c>
      <c r="S98" s="160" t="s">
        <v>1087</v>
      </c>
      <c r="T98" s="160" t="s">
        <v>1061</v>
      </c>
      <c r="U98" s="160" t="s">
        <v>801</v>
      </c>
      <c r="V98" s="160" t="s">
        <v>1057</v>
      </c>
    </row>
    <row r="99" spans="2:22" ht="11.25">
      <c r="B99" s="161" t="s">
        <v>1057</v>
      </c>
      <c r="C99" s="161" t="s">
        <v>1057</v>
      </c>
      <c r="D99" s="161" t="s">
        <v>1057</v>
      </c>
      <c r="E99" s="161" t="s">
        <v>1057</v>
      </c>
      <c r="F99" s="161">
        <v>8</v>
      </c>
      <c r="G99" s="161" t="s">
        <v>1057</v>
      </c>
      <c r="H99" s="161" t="s">
        <v>1057</v>
      </c>
      <c r="I99" s="161" t="s">
        <v>1057</v>
      </c>
      <c r="J99" s="161">
        <v>8</v>
      </c>
      <c r="K99" s="161">
        <v>8</v>
      </c>
      <c r="L99" s="160" t="s">
        <v>1268</v>
      </c>
      <c r="M99" s="160" t="s">
        <v>1267</v>
      </c>
      <c r="N99" s="160" t="s">
        <v>826</v>
      </c>
      <c r="O99" s="160" t="s">
        <v>1091</v>
      </c>
      <c r="P99" s="160" t="s">
        <v>1114</v>
      </c>
      <c r="Q99" s="160" t="str">
        <f>CONCATENATE(25+(FLOOR(Data!E25/2,1)*5)," ft.")</f>
        <v>25 ft.</v>
      </c>
      <c r="R99" s="163" t="s">
        <v>1269</v>
      </c>
      <c r="S99" s="160" t="s">
        <v>1069</v>
      </c>
      <c r="T99" s="160" t="s">
        <v>1061</v>
      </c>
      <c r="U99" s="160" t="s">
        <v>801</v>
      </c>
      <c r="V99" s="160" t="s">
        <v>1057</v>
      </c>
    </row>
    <row r="100" spans="2:22" ht="11.25">
      <c r="B100" s="161" t="s">
        <v>1057</v>
      </c>
      <c r="C100" s="161" t="s">
        <v>1057</v>
      </c>
      <c r="D100" s="161" t="s">
        <v>1057</v>
      </c>
      <c r="E100" s="161" t="s">
        <v>1057</v>
      </c>
      <c r="F100" s="161">
        <v>6</v>
      </c>
      <c r="G100" s="161" t="s">
        <v>1057</v>
      </c>
      <c r="H100" s="161" t="s">
        <v>1057</v>
      </c>
      <c r="I100" s="161" t="s">
        <v>1057</v>
      </c>
      <c r="J100" s="161">
        <v>6</v>
      </c>
      <c r="K100" s="161">
        <v>6</v>
      </c>
      <c r="L100" s="160" t="s">
        <v>1271</v>
      </c>
      <c r="M100" s="160" t="s">
        <v>1270</v>
      </c>
      <c r="N100" s="160" t="s">
        <v>826</v>
      </c>
      <c r="O100" s="160" t="s">
        <v>1091</v>
      </c>
      <c r="P100" s="160" t="s">
        <v>1114</v>
      </c>
      <c r="Q100" s="160" t="str">
        <f>CONCATENATE(25+(FLOOR(Data!E25/2,1)*5)," ft.")</f>
        <v>25 ft.</v>
      </c>
      <c r="R100" s="163" t="s">
        <v>1269</v>
      </c>
      <c r="S100" s="160" t="s">
        <v>1069</v>
      </c>
      <c r="T100" s="160" t="s">
        <v>1061</v>
      </c>
      <c r="U100" s="160" t="s">
        <v>801</v>
      </c>
      <c r="V100" s="160" t="s">
        <v>1057</v>
      </c>
    </row>
    <row r="101" spans="2:22" ht="11.25">
      <c r="B101" s="161">
        <v>1</v>
      </c>
      <c r="C101" s="161" t="s">
        <v>1057</v>
      </c>
      <c r="D101" s="161" t="s">
        <v>1057</v>
      </c>
      <c r="E101" s="161" t="s">
        <v>1057</v>
      </c>
      <c r="F101" s="161">
        <v>1</v>
      </c>
      <c r="G101" s="161" t="s">
        <v>1057</v>
      </c>
      <c r="H101" s="161">
        <v>1</v>
      </c>
      <c r="I101" s="161" t="s">
        <v>1057</v>
      </c>
      <c r="J101" s="161" t="s">
        <v>1057</v>
      </c>
      <c r="K101" s="161" t="s">
        <v>1057</v>
      </c>
      <c r="L101" s="160" t="s">
        <v>1057</v>
      </c>
      <c r="M101" s="160" t="s">
        <v>829</v>
      </c>
      <c r="N101" s="160" t="s">
        <v>804</v>
      </c>
      <c r="O101" s="160" t="s">
        <v>1071</v>
      </c>
      <c r="P101" s="160" t="s">
        <v>1059</v>
      </c>
      <c r="Q101" s="160" t="s">
        <v>1145</v>
      </c>
      <c r="R101" s="162" t="s">
        <v>1167</v>
      </c>
      <c r="S101" s="160" t="str">
        <f>CONCATENATE(Data!E25," min.")</f>
        <v>1 min.</v>
      </c>
      <c r="T101" s="160" t="s">
        <v>1061</v>
      </c>
      <c r="U101" s="160" t="s">
        <v>1073</v>
      </c>
      <c r="V101" s="160" t="s">
        <v>1057</v>
      </c>
    </row>
    <row r="102" spans="2:22" ht="11.25">
      <c r="B102" s="161" t="s">
        <v>1057</v>
      </c>
      <c r="C102" s="161" t="s">
        <v>1057</v>
      </c>
      <c r="D102" s="161" t="s">
        <v>1057</v>
      </c>
      <c r="E102" s="161" t="s">
        <v>1057</v>
      </c>
      <c r="F102" s="161" t="s">
        <v>1057</v>
      </c>
      <c r="G102" s="161">
        <v>7</v>
      </c>
      <c r="H102" s="161" t="s">
        <v>1057</v>
      </c>
      <c r="I102" s="161" t="s">
        <v>1057</v>
      </c>
      <c r="J102" s="161" t="s">
        <v>1057</v>
      </c>
      <c r="K102" s="161" t="s">
        <v>1057</v>
      </c>
      <c r="L102" s="160" t="s">
        <v>1057</v>
      </c>
      <c r="M102" s="160" t="s">
        <v>1272</v>
      </c>
      <c r="N102" s="160" t="s">
        <v>815</v>
      </c>
      <c r="O102" s="160" t="s">
        <v>1067</v>
      </c>
      <c r="P102" s="160" t="s">
        <v>1108</v>
      </c>
      <c r="Q102" s="160" t="str">
        <f>CONCATENATE(25+(FLOOR(Data!E25/2,1)*5)," ft.")</f>
        <v>25 ft.</v>
      </c>
      <c r="R102" s="162" t="str">
        <f>CONCATENATE("Effect: ",FLOOR(Data!E25/2,1)," swarms of centipedes")</f>
        <v>Effect: 0 swarms of centipedes</v>
      </c>
      <c r="S102" s="160" t="str">
        <f>CONCATENATE(Data!E25," min.")</f>
        <v>1 min.</v>
      </c>
      <c r="T102" s="160" t="s">
        <v>1061</v>
      </c>
      <c r="U102" s="160" t="s">
        <v>801</v>
      </c>
      <c r="V102" s="160" t="s">
        <v>1057</v>
      </c>
    </row>
    <row r="103" spans="2:22" ht="11.25">
      <c r="B103" s="161" t="s">
        <v>1057</v>
      </c>
      <c r="C103" s="161" t="s">
        <v>1057</v>
      </c>
      <c r="D103" s="161">
        <v>3</v>
      </c>
      <c r="E103" s="161" t="s">
        <v>1057</v>
      </c>
      <c r="F103" s="161" t="s">
        <v>1057</v>
      </c>
      <c r="G103" s="161" t="s">
        <v>1057</v>
      </c>
      <c r="H103" s="161" t="s">
        <v>1057</v>
      </c>
      <c r="I103" s="161" t="s">
        <v>1057</v>
      </c>
      <c r="J103" s="161">
        <v>4</v>
      </c>
      <c r="K103" s="161">
        <v>4</v>
      </c>
      <c r="L103" s="160" t="s">
        <v>1057</v>
      </c>
      <c r="M103" s="160" t="s">
        <v>1273</v>
      </c>
      <c r="N103" s="160" t="s">
        <v>804</v>
      </c>
      <c r="O103" s="160" t="s">
        <v>1091</v>
      </c>
      <c r="P103" s="160" t="s">
        <v>1059</v>
      </c>
      <c r="Q103" s="160" t="s">
        <v>1274</v>
      </c>
      <c r="R103" s="162" t="s">
        <v>1187</v>
      </c>
      <c r="S103" s="160" t="str">
        <f>CONCATENATE(Data!E25," min.")</f>
        <v>1 min.</v>
      </c>
      <c r="T103" s="160" t="s">
        <v>1141</v>
      </c>
      <c r="U103" s="160" t="s">
        <v>805</v>
      </c>
      <c r="V103" s="160" t="s">
        <v>1057</v>
      </c>
    </row>
    <row r="104" spans="2:22" ht="11.25">
      <c r="B104" s="161" t="s">
        <v>1057</v>
      </c>
      <c r="C104" s="161" t="s">
        <v>1057</v>
      </c>
      <c r="D104" s="161" t="s">
        <v>1057</v>
      </c>
      <c r="E104" s="161" t="s">
        <v>1057</v>
      </c>
      <c r="F104" s="161" t="s">
        <v>1057</v>
      </c>
      <c r="G104" s="161" t="s">
        <v>1057</v>
      </c>
      <c r="H104" s="161" t="s">
        <v>1057</v>
      </c>
      <c r="I104" s="161" t="s">
        <v>1057</v>
      </c>
      <c r="J104" s="161">
        <v>9</v>
      </c>
      <c r="K104" s="161">
        <v>9</v>
      </c>
      <c r="L104" s="160" t="s">
        <v>1276</v>
      </c>
      <c r="M104" s="160" t="s">
        <v>1275</v>
      </c>
      <c r="N104" s="160" t="s">
        <v>1162</v>
      </c>
      <c r="O104" s="160" t="s">
        <v>1277</v>
      </c>
      <c r="P104" s="160" t="s">
        <v>1059</v>
      </c>
      <c r="Q104" s="160" t="str">
        <f>CONCATENATE(100+(10*Data!E25)," ft.")</f>
        <v>110 ft.</v>
      </c>
      <c r="R104" s="162" t="s">
        <v>1225</v>
      </c>
      <c r="S104" s="160" t="str">
        <f>CONCATENATE(Data!E25," rnds [D]")</f>
        <v>1 rnds [D]</v>
      </c>
      <c r="T104" s="160" t="s">
        <v>1061</v>
      </c>
      <c r="U104" s="160" t="s">
        <v>805</v>
      </c>
      <c r="V104" s="160" t="s">
        <v>1057</v>
      </c>
    </row>
    <row r="105" spans="2:22" ht="11.25">
      <c r="B105" s="161">
        <v>4</v>
      </c>
      <c r="C105" s="161" t="s">
        <v>1057</v>
      </c>
      <c r="D105" s="161">
        <v>4</v>
      </c>
      <c r="E105" s="161">
        <v>4</v>
      </c>
      <c r="F105" s="161">
        <v>4</v>
      </c>
      <c r="G105" s="161">
        <v>5</v>
      </c>
      <c r="H105" s="161" t="s">
        <v>1057</v>
      </c>
      <c r="I105" s="161" t="s">
        <v>1057</v>
      </c>
      <c r="J105" s="161" t="s">
        <v>1057</v>
      </c>
      <c r="L105" s="160" t="s">
        <v>1278</v>
      </c>
      <c r="M105" s="160" t="s">
        <v>915</v>
      </c>
      <c r="N105" s="160" t="s">
        <v>815</v>
      </c>
      <c r="O105" s="160" t="s">
        <v>1067</v>
      </c>
      <c r="P105" s="160" t="s">
        <v>1059</v>
      </c>
      <c r="Q105" s="160" t="s">
        <v>799</v>
      </c>
      <c r="R105" s="162" t="s">
        <v>1152</v>
      </c>
      <c r="S105" s="160" t="s">
        <v>1069</v>
      </c>
      <c r="T105" s="160" t="s">
        <v>1087</v>
      </c>
      <c r="U105" s="160" t="s">
        <v>1087</v>
      </c>
      <c r="V105" s="160" t="s">
        <v>1057</v>
      </c>
    </row>
    <row r="106" spans="2:22" ht="11.25">
      <c r="B106" s="161" t="s">
        <v>1057</v>
      </c>
      <c r="C106" s="161" t="s">
        <v>1057</v>
      </c>
      <c r="D106" s="161" t="s">
        <v>1057</v>
      </c>
      <c r="E106" s="161" t="s">
        <v>1057</v>
      </c>
      <c r="F106" s="161">
        <v>8</v>
      </c>
      <c r="G106" s="161">
        <v>9</v>
      </c>
      <c r="H106" s="161" t="s">
        <v>1057</v>
      </c>
      <c r="I106" s="161" t="s">
        <v>1057</v>
      </c>
      <c r="J106" s="161" t="s">
        <v>1057</v>
      </c>
      <c r="K106" s="161" t="s">
        <v>1057</v>
      </c>
      <c r="L106" s="160" t="s">
        <v>1280</v>
      </c>
      <c r="M106" s="160" t="s">
        <v>1279</v>
      </c>
      <c r="N106" s="160" t="s">
        <v>815</v>
      </c>
      <c r="O106" s="160" t="s">
        <v>1067</v>
      </c>
      <c r="P106" s="160" t="s">
        <v>1059</v>
      </c>
      <c r="Q106" s="160" t="str">
        <f>CONCATENATE(25+(FLOOR(Data!E25/2,1)*5)," ft.")</f>
        <v>25 ft.</v>
      </c>
      <c r="R106" s="162" t="str">
        <f>CONCATENATE("Target: ",Data!E25," creatures within 30 ft. of each other")</f>
        <v>Target: 1 creatures within 30 ft. of each other</v>
      </c>
      <c r="S106" s="160" t="s">
        <v>1069</v>
      </c>
      <c r="T106" s="160" t="s">
        <v>1087</v>
      </c>
      <c r="U106" s="160" t="s">
        <v>1087</v>
      </c>
      <c r="V106" s="160" t="s">
        <v>1057</v>
      </c>
    </row>
    <row r="107" spans="2:22" ht="11.25">
      <c r="B107" s="161" t="s">
        <v>1057</v>
      </c>
      <c r="C107" s="161" t="s">
        <v>1057</v>
      </c>
      <c r="D107" s="161" t="s">
        <v>1057</v>
      </c>
      <c r="E107" s="161" t="s">
        <v>1057</v>
      </c>
      <c r="F107" s="161">
        <v>1</v>
      </c>
      <c r="G107" s="161" t="s">
        <v>1057</v>
      </c>
      <c r="H107" s="161">
        <v>1</v>
      </c>
      <c r="I107" s="161" t="s">
        <v>1057</v>
      </c>
      <c r="J107" s="161" t="s">
        <v>1057</v>
      </c>
      <c r="K107" s="161" t="s">
        <v>1057</v>
      </c>
      <c r="L107" s="160" t="s">
        <v>1057</v>
      </c>
      <c r="M107" s="160" t="s">
        <v>830</v>
      </c>
      <c r="N107" s="160" t="s">
        <v>811</v>
      </c>
      <c r="O107" s="160" t="s">
        <v>1091</v>
      </c>
      <c r="P107" s="160" t="s">
        <v>1135</v>
      </c>
      <c r="Q107" s="160" t="s">
        <v>799</v>
      </c>
      <c r="R107" s="162" t="s">
        <v>1168</v>
      </c>
      <c r="S107" s="160" t="s">
        <v>1069</v>
      </c>
      <c r="T107" s="160" t="s">
        <v>1169</v>
      </c>
      <c r="U107" s="160" t="s">
        <v>1170</v>
      </c>
      <c r="V107" s="160" t="s">
        <v>1122</v>
      </c>
    </row>
    <row r="108" spans="2:22" ht="11.25">
      <c r="B108" s="161" t="s">
        <v>1057</v>
      </c>
      <c r="C108" s="161" t="s">
        <v>1057</v>
      </c>
      <c r="D108" s="161">
        <v>5</v>
      </c>
      <c r="E108" s="161" t="s">
        <v>1057</v>
      </c>
      <c r="F108" s="161">
        <v>5</v>
      </c>
      <c r="G108" s="161">
        <v>6</v>
      </c>
      <c r="H108" s="161" t="s">
        <v>1057</v>
      </c>
      <c r="I108" s="161" t="s">
        <v>1057</v>
      </c>
      <c r="J108" s="161" t="s">
        <v>1057</v>
      </c>
      <c r="K108" s="161" t="s">
        <v>1057</v>
      </c>
      <c r="L108" s="160" t="s">
        <v>1283</v>
      </c>
      <c r="M108" s="160" t="s">
        <v>1282</v>
      </c>
      <c r="N108" s="160" t="s">
        <v>815</v>
      </c>
      <c r="O108" s="160" t="s">
        <v>1067</v>
      </c>
      <c r="P108" s="160" t="s">
        <v>1059</v>
      </c>
      <c r="Q108" s="160" t="str">
        <f>CONCATENATE(25+(FLOOR(Data!E25/2,1)*5)," ft.")</f>
        <v>25 ft.</v>
      </c>
      <c r="R108" s="162" t="str">
        <f>CONCATENATE("Target: ",Data!E25," creatures within 30 ft. of each other")</f>
        <v>Target: 1 creatures within 30 ft. of each other</v>
      </c>
      <c r="S108" s="160" t="s">
        <v>1069</v>
      </c>
      <c r="T108" s="160" t="s">
        <v>1087</v>
      </c>
      <c r="U108" s="160" t="s">
        <v>1087</v>
      </c>
      <c r="V108" s="160" t="s">
        <v>1057</v>
      </c>
    </row>
    <row r="109" spans="2:22" ht="11.25">
      <c r="B109" s="161" t="s">
        <v>1057</v>
      </c>
      <c r="C109" s="161" t="s">
        <v>1057</v>
      </c>
      <c r="D109" s="161">
        <v>1</v>
      </c>
      <c r="E109" s="161" t="s">
        <v>1057</v>
      </c>
      <c r="F109" s="161" t="s">
        <v>1057</v>
      </c>
      <c r="G109" s="161" t="s">
        <v>1057</v>
      </c>
      <c r="H109" s="161" t="s">
        <v>1057</v>
      </c>
      <c r="I109" s="161" t="s">
        <v>1057</v>
      </c>
      <c r="J109" s="161">
        <v>1</v>
      </c>
      <c r="K109" s="161">
        <v>1</v>
      </c>
      <c r="L109" s="160" t="s">
        <v>1057</v>
      </c>
      <c r="M109" s="160" t="s">
        <v>1213</v>
      </c>
      <c r="N109" s="160" t="s">
        <v>804</v>
      </c>
      <c r="O109" s="160" t="s">
        <v>1067</v>
      </c>
      <c r="P109" s="160" t="s">
        <v>1059</v>
      </c>
      <c r="Q109" s="160" t="str">
        <f>CONCATENATE(25+(FLOOR(Data!E25/2,1)*5)," ft.")</f>
        <v>25 ft.</v>
      </c>
      <c r="R109" s="162" t="s">
        <v>1214</v>
      </c>
      <c r="S109" s="160" t="str">
        <f>CONCATENATE(Data!E25," hours")</f>
        <v>1 hours</v>
      </c>
      <c r="T109" s="160" t="s">
        <v>1141</v>
      </c>
      <c r="U109" s="160" t="s">
        <v>805</v>
      </c>
      <c r="V109" s="160" t="s">
        <v>1057</v>
      </c>
    </row>
    <row r="110" spans="2:22" ht="11.25">
      <c r="B110" s="161">
        <v>1</v>
      </c>
      <c r="C110" s="161" t="s">
        <v>1057</v>
      </c>
      <c r="D110" s="161" t="s">
        <v>1057</v>
      </c>
      <c r="E110" s="161" t="s">
        <v>1057</v>
      </c>
      <c r="F110" s="161">
        <v>1</v>
      </c>
      <c r="G110" s="161" t="s">
        <v>1057</v>
      </c>
      <c r="H110" s="161" t="s">
        <v>1057</v>
      </c>
      <c r="I110" s="161" t="s">
        <v>1057</v>
      </c>
      <c r="J110" s="161" t="s">
        <v>1057</v>
      </c>
      <c r="K110" s="161" t="s">
        <v>1057</v>
      </c>
      <c r="L110" s="160" t="s">
        <v>1057</v>
      </c>
      <c r="M110" s="160" t="s">
        <v>832</v>
      </c>
      <c r="N110" s="160" t="s">
        <v>804</v>
      </c>
      <c r="O110" s="160" t="s">
        <v>1104</v>
      </c>
      <c r="P110" s="160" t="s">
        <v>1059</v>
      </c>
      <c r="Q110" s="160" t="str">
        <f>CONCATENATE(25+(FLOOR(Data!E25/2,1)*5)," ft.")</f>
        <v>25 ft.</v>
      </c>
      <c r="R110" s="162" t="s">
        <v>1156</v>
      </c>
      <c r="S110" s="160" t="s">
        <v>1108</v>
      </c>
      <c r="T110" s="160" t="s">
        <v>1141</v>
      </c>
      <c r="U110" s="160" t="s">
        <v>805</v>
      </c>
      <c r="V110" s="160" t="s">
        <v>1057</v>
      </c>
    </row>
    <row r="111" spans="2:22" ht="11.25">
      <c r="B111" s="161" t="s">
        <v>1057</v>
      </c>
      <c r="C111" s="161" t="s">
        <v>1057</v>
      </c>
      <c r="D111" s="161">
        <v>6</v>
      </c>
      <c r="E111" s="161" t="s">
        <v>1057</v>
      </c>
      <c r="F111" s="161">
        <v>6</v>
      </c>
      <c r="G111" s="161">
        <v>7</v>
      </c>
      <c r="H111" s="161" t="s">
        <v>1057</v>
      </c>
      <c r="I111" s="161" t="s">
        <v>1057</v>
      </c>
      <c r="J111" s="161" t="s">
        <v>1057</v>
      </c>
      <c r="K111" s="161" t="s">
        <v>1057</v>
      </c>
      <c r="L111" s="160" t="s">
        <v>1057</v>
      </c>
      <c r="M111" s="160" t="s">
        <v>1285</v>
      </c>
      <c r="N111" s="160" t="s">
        <v>815</v>
      </c>
      <c r="O111" s="160" t="s">
        <v>1067</v>
      </c>
      <c r="P111" s="160" t="s">
        <v>1059</v>
      </c>
      <c r="Q111" s="160" t="str">
        <f>CONCATENATE(25+(FLOOR(Data!E25/2,1)*5)," ft.")</f>
        <v>25 ft.</v>
      </c>
      <c r="R111" s="162" t="str">
        <f>CONCATENATE("Target: ",Data!E25," creatures within 30 ft. of each other")</f>
        <v>Target: 1 creatures within 30 ft. of each other</v>
      </c>
      <c r="S111" s="160" t="s">
        <v>1069</v>
      </c>
      <c r="T111" s="160" t="s">
        <v>1087</v>
      </c>
      <c r="U111" s="160" t="s">
        <v>1087</v>
      </c>
      <c r="V111" s="160" t="s">
        <v>1057</v>
      </c>
    </row>
    <row r="112" spans="2:22" ht="11.25">
      <c r="B112" s="161">
        <v>3</v>
      </c>
      <c r="C112" s="161" t="s">
        <v>1057</v>
      </c>
      <c r="D112" s="161">
        <v>3</v>
      </c>
      <c r="E112" s="161">
        <v>3</v>
      </c>
      <c r="F112" s="161">
        <v>3</v>
      </c>
      <c r="G112" s="161">
        <v>4</v>
      </c>
      <c r="H112" s="161">
        <v>4</v>
      </c>
      <c r="I112" s="161">
        <v>4</v>
      </c>
      <c r="J112" s="161" t="s">
        <v>1057</v>
      </c>
      <c r="L112" s="160" t="s">
        <v>1286</v>
      </c>
      <c r="M112" s="160" t="s">
        <v>885</v>
      </c>
      <c r="N112" s="160" t="s">
        <v>815</v>
      </c>
      <c r="O112" s="160" t="s">
        <v>1067</v>
      </c>
      <c r="P112" s="160" t="s">
        <v>1059</v>
      </c>
      <c r="Q112" s="160" t="s">
        <v>799</v>
      </c>
      <c r="R112" s="162" t="s">
        <v>1152</v>
      </c>
      <c r="S112" s="160" t="s">
        <v>1069</v>
      </c>
      <c r="T112" s="160" t="s">
        <v>1087</v>
      </c>
      <c r="U112" s="160" t="s">
        <v>1087</v>
      </c>
      <c r="V112" s="160" t="s">
        <v>1057</v>
      </c>
    </row>
    <row r="113" spans="2:22" ht="11.25">
      <c r="B113" s="161" t="s">
        <v>1057</v>
      </c>
      <c r="C113" s="161" t="s">
        <v>1057</v>
      </c>
      <c r="D113" s="161" t="s">
        <v>1057</v>
      </c>
      <c r="E113" s="161" t="s">
        <v>1057</v>
      </c>
      <c r="F113" s="161">
        <v>7</v>
      </c>
      <c r="G113" s="161">
        <v>8</v>
      </c>
      <c r="H113" s="161" t="s">
        <v>1057</v>
      </c>
      <c r="I113" s="161" t="s">
        <v>1057</v>
      </c>
      <c r="J113" s="161" t="s">
        <v>1057</v>
      </c>
      <c r="K113" s="161" t="s">
        <v>1057</v>
      </c>
      <c r="L113" s="160" t="s">
        <v>1057</v>
      </c>
      <c r="M113" s="160" t="s">
        <v>1287</v>
      </c>
      <c r="N113" s="160" t="s">
        <v>815</v>
      </c>
      <c r="O113" s="160" t="s">
        <v>1067</v>
      </c>
      <c r="P113" s="160" t="s">
        <v>1059</v>
      </c>
      <c r="Q113" s="160" t="str">
        <f>CONCATENATE(25+(FLOOR(Data!E25/2,1)*5)," ft.")</f>
        <v>25 ft.</v>
      </c>
      <c r="R113" s="162" t="str">
        <f>CONCATENATE("Target: ",Data!E25," creatures within 30 ft. of each other")</f>
        <v>Target: 1 creatures within 30 ft. of each other</v>
      </c>
      <c r="S113" s="160" t="s">
        <v>1069</v>
      </c>
      <c r="T113" s="160" t="s">
        <v>1087</v>
      </c>
      <c r="U113" s="160" t="s">
        <v>1087</v>
      </c>
      <c r="V113" s="160" t="s">
        <v>1057</v>
      </c>
    </row>
    <row r="114" spans="2:22" ht="11.25">
      <c r="B114" s="161" t="s">
        <v>1057</v>
      </c>
      <c r="C114" s="161" t="s">
        <v>1057</v>
      </c>
      <c r="D114" s="161" t="s">
        <v>1057</v>
      </c>
      <c r="E114" s="161" t="s">
        <v>1057</v>
      </c>
      <c r="F114" s="161" t="s">
        <v>1057</v>
      </c>
      <c r="G114" s="161" t="s">
        <v>1057</v>
      </c>
      <c r="H114" s="161" t="s">
        <v>1057</v>
      </c>
      <c r="I114" s="161" t="s">
        <v>1057</v>
      </c>
      <c r="J114" s="161">
        <v>1</v>
      </c>
      <c r="K114" s="161">
        <v>1</v>
      </c>
      <c r="L114" s="160" t="s">
        <v>1057</v>
      </c>
      <c r="M114" s="160" t="s">
        <v>1218</v>
      </c>
      <c r="N114" s="160" t="s">
        <v>826</v>
      </c>
      <c r="O114" s="160" t="s">
        <v>1067</v>
      </c>
      <c r="P114" s="160" t="s">
        <v>1059</v>
      </c>
      <c r="Q114" s="160" t="s">
        <v>799</v>
      </c>
      <c r="R114" s="162" t="str">
        <f>CONCATENATE("Targets: Up to ",Data!E25," Creatures touched")</f>
        <v>Targets: Up to 1 Creatures touched</v>
      </c>
      <c r="S114" s="160" t="s">
        <v>1069</v>
      </c>
      <c r="T114" s="160" t="s">
        <v>1087</v>
      </c>
      <c r="U114" s="160" t="s">
        <v>805</v>
      </c>
      <c r="V114" s="160" t="s">
        <v>1057</v>
      </c>
    </row>
    <row r="115" spans="2:22" ht="11.25">
      <c r="B115" s="161" t="s">
        <v>1057</v>
      </c>
      <c r="C115" s="161" t="s">
        <v>1057</v>
      </c>
      <c r="D115" s="161" t="s">
        <v>1057</v>
      </c>
      <c r="E115" s="161" t="s">
        <v>1057</v>
      </c>
      <c r="F115" s="161" t="s">
        <v>1057</v>
      </c>
      <c r="G115" s="161" t="s">
        <v>1057</v>
      </c>
      <c r="H115" s="161" t="s">
        <v>1057</v>
      </c>
      <c r="I115" s="161" t="s">
        <v>1057</v>
      </c>
      <c r="J115" s="161">
        <v>1</v>
      </c>
      <c r="K115" s="161">
        <v>1</v>
      </c>
      <c r="L115" s="160" t="s">
        <v>1057</v>
      </c>
      <c r="M115" s="160" t="s">
        <v>1233</v>
      </c>
      <c r="N115" s="160" t="s">
        <v>1179</v>
      </c>
      <c r="O115" s="160" t="s">
        <v>1091</v>
      </c>
      <c r="P115" s="160" t="s">
        <v>1059</v>
      </c>
      <c r="Q115" s="160" t="s">
        <v>1186</v>
      </c>
      <c r="R115" s="162" t="s">
        <v>1187</v>
      </c>
      <c r="S115" s="160" t="s">
        <v>1087</v>
      </c>
      <c r="T115" s="160" t="s">
        <v>1141</v>
      </c>
      <c r="U115" s="160" t="s">
        <v>805</v>
      </c>
      <c r="V115" s="160" t="s">
        <v>1057</v>
      </c>
    </row>
    <row r="116" spans="2:22" ht="11.25">
      <c r="B116" s="161">
        <v>1</v>
      </c>
      <c r="C116" s="161" t="s">
        <v>1057</v>
      </c>
      <c r="D116" s="161">
        <v>1</v>
      </c>
      <c r="E116" s="161">
        <v>1</v>
      </c>
      <c r="F116" s="161">
        <v>1</v>
      </c>
      <c r="G116" s="161">
        <v>1</v>
      </c>
      <c r="H116" s="161">
        <v>1</v>
      </c>
      <c r="I116" s="161">
        <v>2</v>
      </c>
      <c r="J116" s="161" t="s">
        <v>1057</v>
      </c>
      <c r="L116" s="160" t="s">
        <v>1281</v>
      </c>
      <c r="M116" s="160" t="s">
        <v>834</v>
      </c>
      <c r="N116" s="160" t="s">
        <v>815</v>
      </c>
      <c r="O116" s="160" t="s">
        <v>1067</v>
      </c>
      <c r="P116" s="160" t="s">
        <v>1059</v>
      </c>
      <c r="Q116" s="160" t="s">
        <v>799</v>
      </c>
      <c r="R116" s="162" t="s">
        <v>1152</v>
      </c>
      <c r="S116" s="160" t="s">
        <v>1069</v>
      </c>
      <c r="T116" s="160" t="s">
        <v>1087</v>
      </c>
      <c r="U116" s="160" t="s">
        <v>1087</v>
      </c>
      <c r="V116" s="160" t="s">
        <v>1057</v>
      </c>
    </row>
    <row r="117" spans="2:22" ht="11.25">
      <c r="B117" s="161">
        <v>1</v>
      </c>
      <c r="C117" s="161" t="s">
        <v>1057</v>
      </c>
      <c r="D117" s="161">
        <v>1</v>
      </c>
      <c r="E117" s="161">
        <v>1</v>
      </c>
      <c r="F117" s="161">
        <v>1</v>
      </c>
      <c r="G117" s="161" t="s">
        <v>1057</v>
      </c>
      <c r="H117" s="161" t="s">
        <v>1057</v>
      </c>
      <c r="I117" s="161" t="s">
        <v>1057</v>
      </c>
      <c r="J117" s="161">
        <v>1</v>
      </c>
      <c r="K117" s="161">
        <v>1</v>
      </c>
      <c r="L117" s="160" t="s">
        <v>1199</v>
      </c>
      <c r="M117" s="160" t="s">
        <v>831</v>
      </c>
      <c r="N117" s="160" t="s">
        <v>826</v>
      </c>
      <c r="O117" s="160" t="s">
        <v>1067</v>
      </c>
      <c r="P117" s="160" t="s">
        <v>1059</v>
      </c>
      <c r="Q117" s="160" t="str">
        <f>CONCATENATE(25+(FLOOR(Data!E25/2,1)*5)," ft.")</f>
        <v>25 ft.</v>
      </c>
      <c r="R117" s="162" t="s">
        <v>1200</v>
      </c>
      <c r="S117" s="160" t="s">
        <v>1087</v>
      </c>
      <c r="T117" s="160" t="s">
        <v>1115</v>
      </c>
      <c r="U117" s="160" t="s">
        <v>805</v>
      </c>
      <c r="V117" s="160" t="s">
        <v>1057</v>
      </c>
    </row>
    <row r="118" spans="2:22" ht="11.25">
      <c r="B118" s="161">
        <v>3</v>
      </c>
      <c r="C118" s="161" t="s">
        <v>1057</v>
      </c>
      <c r="D118" s="161">
        <v>3</v>
      </c>
      <c r="E118" s="161" t="s">
        <v>1057</v>
      </c>
      <c r="F118" s="161">
        <v>3</v>
      </c>
      <c r="G118" s="161">
        <v>3</v>
      </c>
      <c r="H118" s="161">
        <v>3</v>
      </c>
      <c r="I118" s="161" t="s">
        <v>1057</v>
      </c>
      <c r="J118" s="161">
        <v>3</v>
      </c>
      <c r="K118" s="161">
        <v>3</v>
      </c>
      <c r="L118" s="160" t="s">
        <v>1057</v>
      </c>
      <c r="M118" s="160" t="s">
        <v>886</v>
      </c>
      <c r="N118" s="160" t="s">
        <v>1162</v>
      </c>
      <c r="O118" s="160" t="s">
        <v>1067</v>
      </c>
      <c r="P118" s="160" t="s">
        <v>1059</v>
      </c>
      <c r="Q118" s="160" t="s">
        <v>799</v>
      </c>
      <c r="R118" s="162" t="s">
        <v>1290</v>
      </c>
      <c r="S118" s="160" t="str">
        <f>CONCATENATE(Data!E25*10," min. [D]")</f>
        <v>10 min. [D]</v>
      </c>
      <c r="T118" s="160" t="s">
        <v>1061</v>
      </c>
      <c r="U118" s="160" t="s">
        <v>801</v>
      </c>
      <c r="V118" s="160" t="s">
        <v>1057</v>
      </c>
    </row>
    <row r="119" spans="2:22" ht="11.25">
      <c r="B119" s="161">
        <v>1</v>
      </c>
      <c r="C119" s="161" t="s">
        <v>1057</v>
      </c>
      <c r="D119" s="161">
        <v>1</v>
      </c>
      <c r="E119" s="161" t="s">
        <v>1057</v>
      </c>
      <c r="F119" s="161">
        <v>1</v>
      </c>
      <c r="G119" s="161" t="s">
        <v>1057</v>
      </c>
      <c r="H119" s="161" t="s">
        <v>1057</v>
      </c>
      <c r="I119" s="161" t="s">
        <v>1057</v>
      </c>
      <c r="J119" s="161">
        <v>1</v>
      </c>
      <c r="K119" s="161">
        <v>1</v>
      </c>
      <c r="L119" s="160" t="s">
        <v>1057</v>
      </c>
      <c r="M119" s="160" t="s">
        <v>833</v>
      </c>
      <c r="N119" s="160" t="s">
        <v>822</v>
      </c>
      <c r="O119" s="160" t="s">
        <v>1064</v>
      </c>
      <c r="P119" s="160" t="s">
        <v>1059</v>
      </c>
      <c r="Q119" s="160" t="s">
        <v>817</v>
      </c>
      <c r="R119" s="162" t="s">
        <v>1084</v>
      </c>
      <c r="S119" s="160" t="str">
        <f>CONCATENATE(Data!E25*10," min.")</f>
        <v>10 min.</v>
      </c>
      <c r="T119" s="160" t="s">
        <v>1061</v>
      </c>
      <c r="U119" s="160" t="s">
        <v>801</v>
      </c>
      <c r="V119" s="160" t="s">
        <v>1057</v>
      </c>
    </row>
    <row r="120" spans="2:22" ht="11.25">
      <c r="B120" s="161" t="s">
        <v>1057</v>
      </c>
      <c r="C120" s="161" t="s">
        <v>1057</v>
      </c>
      <c r="D120" s="161" t="s">
        <v>1057</v>
      </c>
      <c r="E120" s="161" t="s">
        <v>1057</v>
      </c>
      <c r="F120" s="161">
        <v>1</v>
      </c>
      <c r="G120" s="161" t="s">
        <v>1057</v>
      </c>
      <c r="H120" s="161">
        <v>1</v>
      </c>
      <c r="I120" s="161" t="s">
        <v>1057</v>
      </c>
      <c r="J120" s="161">
        <v>1</v>
      </c>
      <c r="K120" s="161">
        <v>1</v>
      </c>
      <c r="L120" s="160" t="s">
        <v>1057</v>
      </c>
      <c r="M120" s="160" t="s">
        <v>1317</v>
      </c>
      <c r="N120" s="160" t="s">
        <v>822</v>
      </c>
      <c r="O120" s="160" t="s">
        <v>1064</v>
      </c>
      <c r="P120" s="160" t="s">
        <v>1059</v>
      </c>
      <c r="Q120" s="160" t="s">
        <v>1246</v>
      </c>
      <c r="R120" s="162" t="s">
        <v>1297</v>
      </c>
      <c r="S120" s="160" t="str">
        <f>CONCATENATE("Con., up to ",Data!E25," min. [D]")</f>
        <v>Con., up to 1 min. [D]</v>
      </c>
      <c r="T120" s="160" t="s">
        <v>1061</v>
      </c>
      <c r="U120" s="160" t="s">
        <v>801</v>
      </c>
      <c r="V120" s="160" t="s">
        <v>1057</v>
      </c>
    </row>
    <row r="121" spans="2:22" ht="11.25">
      <c r="B121" s="161" t="s">
        <v>1057</v>
      </c>
      <c r="C121" s="161" t="s">
        <v>1057</v>
      </c>
      <c r="D121" s="161" t="s">
        <v>1057</v>
      </c>
      <c r="E121" s="161" t="s">
        <v>1057</v>
      </c>
      <c r="F121" s="161">
        <v>1</v>
      </c>
      <c r="G121" s="161" t="s">
        <v>1057</v>
      </c>
      <c r="H121" s="161" t="s">
        <v>1057</v>
      </c>
      <c r="I121" s="161" t="s">
        <v>1057</v>
      </c>
      <c r="J121" s="161" t="s">
        <v>1057</v>
      </c>
      <c r="K121" s="161" t="s">
        <v>1057</v>
      </c>
      <c r="L121" s="160" t="s">
        <v>1057</v>
      </c>
      <c r="M121" s="160" t="s">
        <v>835</v>
      </c>
      <c r="N121" s="160" t="s">
        <v>826</v>
      </c>
      <c r="O121" s="160" t="s">
        <v>1091</v>
      </c>
      <c r="P121" s="160" t="s">
        <v>1135</v>
      </c>
      <c r="Q121" s="160" t="s">
        <v>799</v>
      </c>
      <c r="R121" s="162" t="s">
        <v>1168</v>
      </c>
      <c r="S121" s="160" t="s">
        <v>1069</v>
      </c>
      <c r="T121" s="160" t="s">
        <v>1169</v>
      </c>
      <c r="U121" s="160" t="s">
        <v>1170</v>
      </c>
      <c r="V121" s="160" t="s">
        <v>1122</v>
      </c>
    </row>
    <row r="122" spans="2:22" ht="11.25">
      <c r="B122" s="161" t="s">
        <v>1057</v>
      </c>
      <c r="C122" s="161" t="s">
        <v>1057</v>
      </c>
      <c r="D122" s="161" t="s">
        <v>1057</v>
      </c>
      <c r="E122" s="161" t="s">
        <v>1057</v>
      </c>
      <c r="F122" s="161">
        <v>4</v>
      </c>
      <c r="G122" s="161">
        <v>5</v>
      </c>
      <c r="H122" s="161">
        <v>4</v>
      </c>
      <c r="I122" s="161" t="s">
        <v>1057</v>
      </c>
      <c r="J122" s="161" t="s">
        <v>1057</v>
      </c>
      <c r="K122" s="161" t="s">
        <v>1057</v>
      </c>
      <c r="L122" s="160" t="s">
        <v>1296</v>
      </c>
      <c r="M122" s="160" t="s">
        <v>916</v>
      </c>
      <c r="N122" s="160" t="s">
        <v>826</v>
      </c>
      <c r="O122" s="160" t="s">
        <v>1071</v>
      </c>
      <c r="P122" s="160" t="s">
        <v>1059</v>
      </c>
      <c r="Q122" s="160" t="s">
        <v>799</v>
      </c>
      <c r="R122" s="162" t="s">
        <v>1072</v>
      </c>
      <c r="S122" s="160" t="str">
        <f>CONCATENATE(Data!E25," min.")</f>
        <v>1 min.</v>
      </c>
      <c r="T122" s="160" t="s">
        <v>1153</v>
      </c>
      <c r="U122" s="160" t="s">
        <v>1073</v>
      </c>
      <c r="V122" s="160" t="s">
        <v>1057</v>
      </c>
    </row>
    <row r="123" spans="2:22" ht="11.25">
      <c r="B123" s="161" t="s">
        <v>1057</v>
      </c>
      <c r="C123" s="161" t="s">
        <v>1057</v>
      </c>
      <c r="D123" s="161" t="s">
        <v>1057</v>
      </c>
      <c r="E123" s="161" t="s">
        <v>1057</v>
      </c>
      <c r="F123" s="161">
        <v>1</v>
      </c>
      <c r="G123" s="161" t="s">
        <v>1057</v>
      </c>
      <c r="H123" s="161" t="s">
        <v>1057</v>
      </c>
      <c r="I123" s="161" t="s">
        <v>1057</v>
      </c>
      <c r="J123" s="161" t="s">
        <v>1057</v>
      </c>
      <c r="K123" s="161" t="s">
        <v>1057</v>
      </c>
      <c r="L123" s="160" t="s">
        <v>1057</v>
      </c>
      <c r="M123" s="160" t="s">
        <v>836</v>
      </c>
      <c r="N123" s="160" t="s">
        <v>826</v>
      </c>
      <c r="O123" s="160" t="s">
        <v>1067</v>
      </c>
      <c r="P123" s="160" t="s">
        <v>1059</v>
      </c>
      <c r="Q123" s="160" t="s">
        <v>1274</v>
      </c>
      <c r="R123" s="162" t="s">
        <v>1297</v>
      </c>
      <c r="S123" s="160" t="str">
        <f>CONCATENATE(Data!E25*10," min.")</f>
        <v>10 min.</v>
      </c>
      <c r="T123" s="160" t="s">
        <v>1061</v>
      </c>
      <c r="U123" s="160" t="s">
        <v>801</v>
      </c>
      <c r="V123" s="160" t="s">
        <v>1057</v>
      </c>
    </row>
    <row r="124" spans="2:22" ht="11.25">
      <c r="B124" s="161" t="s">
        <v>1057</v>
      </c>
      <c r="C124" s="161">
        <v>3</v>
      </c>
      <c r="D124" s="161">
        <v>3</v>
      </c>
      <c r="E124" s="161" t="s">
        <v>1057</v>
      </c>
      <c r="F124" s="161" t="s">
        <v>1057</v>
      </c>
      <c r="G124" s="161" t="s">
        <v>1057</v>
      </c>
      <c r="H124" s="161" t="s">
        <v>1057</v>
      </c>
      <c r="I124" s="161" t="s">
        <v>1057</v>
      </c>
      <c r="J124" s="161">
        <v>3</v>
      </c>
      <c r="K124" s="161">
        <v>3</v>
      </c>
      <c r="L124" s="160" t="s">
        <v>1057</v>
      </c>
      <c r="M124" s="160" t="s">
        <v>1298</v>
      </c>
      <c r="N124" s="160" t="s">
        <v>804</v>
      </c>
      <c r="O124" s="160" t="s">
        <v>1091</v>
      </c>
      <c r="P124" s="160" t="s">
        <v>1108</v>
      </c>
      <c r="Q124" s="160" t="str">
        <f>CONCATENATE(25+(FLOOR(Data!E25/2,1)*5)," ft.")</f>
        <v>25 ft.</v>
      </c>
      <c r="R124" s="162" t="s">
        <v>1299</v>
      </c>
      <c r="S124" s="160" t="str">
        <f>CONCATENATE(Data!E25," min.")</f>
        <v>1 min.</v>
      </c>
      <c r="T124" s="160" t="s">
        <v>1141</v>
      </c>
      <c r="U124" s="160" t="s">
        <v>805</v>
      </c>
      <c r="V124" s="160" t="s">
        <v>1057</v>
      </c>
    </row>
    <row r="125" spans="2:22" ht="11.25">
      <c r="B125" s="161">
        <v>3</v>
      </c>
      <c r="C125" s="161">
        <v>3</v>
      </c>
      <c r="D125" s="161" t="s">
        <v>1057</v>
      </c>
      <c r="E125" s="161">
        <v>3</v>
      </c>
      <c r="F125" s="161">
        <v>3</v>
      </c>
      <c r="G125" s="161" t="s">
        <v>1057</v>
      </c>
      <c r="H125" s="161" t="s">
        <v>1057</v>
      </c>
      <c r="I125" s="161" t="s">
        <v>1057</v>
      </c>
      <c r="J125" s="161" t="s">
        <v>1057</v>
      </c>
      <c r="K125" s="161" t="s">
        <v>1057</v>
      </c>
      <c r="L125" s="160" t="s">
        <v>1057</v>
      </c>
      <c r="M125" s="160" t="s">
        <v>887</v>
      </c>
      <c r="N125" s="160" t="s">
        <v>1162</v>
      </c>
      <c r="O125" s="160" t="s">
        <v>1289</v>
      </c>
      <c r="P125" s="160" t="s">
        <v>1059</v>
      </c>
      <c r="Q125" s="160" t="s">
        <v>799</v>
      </c>
      <c r="R125" s="162" t="s">
        <v>1290</v>
      </c>
      <c r="S125" s="160" t="str">
        <f>CONCATENATE(Data!E25," days [D]")</f>
        <v>1 days [D]</v>
      </c>
      <c r="T125" s="160" t="s">
        <v>1061</v>
      </c>
      <c r="U125" s="160" t="s">
        <v>801</v>
      </c>
      <c r="V125" s="160" t="s">
        <v>1057</v>
      </c>
    </row>
    <row r="126" spans="2:22" ht="11.25">
      <c r="B126" s="161">
        <v>1</v>
      </c>
      <c r="C126" s="161" t="s">
        <v>1057</v>
      </c>
      <c r="D126" s="161" t="s">
        <v>1057</v>
      </c>
      <c r="E126" s="161" t="s">
        <v>1057</v>
      </c>
      <c r="F126" s="161">
        <v>1</v>
      </c>
      <c r="G126" s="161" t="s">
        <v>1057</v>
      </c>
      <c r="H126" s="161" t="s">
        <v>1057</v>
      </c>
      <c r="I126" s="161" t="s">
        <v>1057</v>
      </c>
      <c r="J126" s="161" t="s">
        <v>1057</v>
      </c>
      <c r="K126" s="161" t="s">
        <v>1057</v>
      </c>
      <c r="L126" s="160" t="s">
        <v>1057</v>
      </c>
      <c r="M126" s="160" t="s">
        <v>837</v>
      </c>
      <c r="N126" s="160" t="s">
        <v>822</v>
      </c>
      <c r="O126" s="160" t="s">
        <v>1071</v>
      </c>
      <c r="P126" s="160" t="s">
        <v>1059</v>
      </c>
      <c r="Q126" s="160" t="s">
        <v>1246</v>
      </c>
      <c r="R126" s="162" t="s">
        <v>1297</v>
      </c>
      <c r="S126" s="160" t="s">
        <v>1308</v>
      </c>
      <c r="T126" s="160" t="s">
        <v>1061</v>
      </c>
      <c r="U126" s="160" t="s">
        <v>801</v>
      </c>
      <c r="V126" s="160" t="s">
        <v>1057</v>
      </c>
    </row>
    <row r="127" spans="2:22" ht="11.25">
      <c r="B127" s="161" t="s">
        <v>1057</v>
      </c>
      <c r="C127" s="161" t="s">
        <v>1057</v>
      </c>
      <c r="D127" s="161" t="s">
        <v>1057</v>
      </c>
      <c r="E127" s="161" t="s">
        <v>1057</v>
      </c>
      <c r="F127" s="161" t="s">
        <v>1057</v>
      </c>
      <c r="G127" s="161" t="s">
        <v>1057</v>
      </c>
      <c r="H127" s="161" t="s">
        <v>1057</v>
      </c>
      <c r="I127" s="161" t="s">
        <v>1057</v>
      </c>
      <c r="J127" s="161">
        <v>7</v>
      </c>
      <c r="K127" s="161">
        <v>7</v>
      </c>
      <c r="L127" s="160" t="s">
        <v>1057</v>
      </c>
      <c r="M127" s="160" t="s">
        <v>1301</v>
      </c>
      <c r="N127" s="160" t="s">
        <v>1162</v>
      </c>
      <c r="O127" s="160" t="s">
        <v>1091</v>
      </c>
      <c r="P127" s="160" t="s">
        <v>1059</v>
      </c>
      <c r="Q127" s="160" t="str">
        <f>CONCATENATE(400+(40*Data!E25)," ft.")</f>
        <v>440 ft.</v>
      </c>
      <c r="R127" s="162" t="s">
        <v>1159</v>
      </c>
      <c r="S127" s="160" t="s">
        <v>1087</v>
      </c>
      <c r="T127" s="160" t="s">
        <v>1188</v>
      </c>
      <c r="U127" s="160" t="s">
        <v>805</v>
      </c>
      <c r="V127" s="160" t="s">
        <v>1057</v>
      </c>
    </row>
    <row r="128" spans="2:22" ht="11.25">
      <c r="B128" s="161" t="s">
        <v>1057</v>
      </c>
      <c r="C128" s="161" t="s">
        <v>1057</v>
      </c>
      <c r="D128" s="161" t="s">
        <v>1057</v>
      </c>
      <c r="E128" s="161" t="s">
        <v>1057</v>
      </c>
      <c r="F128" s="161" t="s">
        <v>1057</v>
      </c>
      <c r="G128" s="161" t="s">
        <v>1057</v>
      </c>
      <c r="H128" s="161" t="s">
        <v>1057</v>
      </c>
      <c r="I128" s="161" t="s">
        <v>1057</v>
      </c>
      <c r="J128" s="161">
        <v>8</v>
      </c>
      <c r="K128" s="161">
        <v>8</v>
      </c>
      <c r="L128" s="160" t="s">
        <v>1057</v>
      </c>
      <c r="M128" s="160" t="s">
        <v>1302</v>
      </c>
      <c r="N128" s="160" t="s">
        <v>804</v>
      </c>
      <c r="O128" s="160" t="s">
        <v>1064</v>
      </c>
      <c r="P128" s="160" t="s">
        <v>1118</v>
      </c>
      <c r="Q128" s="160" t="s">
        <v>1087</v>
      </c>
      <c r="R128" s="162" t="s">
        <v>1144</v>
      </c>
      <c r="S128" s="160" t="s">
        <v>1087</v>
      </c>
      <c r="T128" s="160" t="s">
        <v>1115</v>
      </c>
      <c r="U128" s="160" t="s">
        <v>805</v>
      </c>
      <c r="V128" s="160" t="s">
        <v>1057</v>
      </c>
    </row>
    <row r="129" spans="2:22" ht="11.25">
      <c r="B129" s="161">
        <v>1</v>
      </c>
      <c r="C129" s="161" t="s">
        <v>1057</v>
      </c>
      <c r="D129" s="161" t="s">
        <v>1057</v>
      </c>
      <c r="E129" s="161" t="s">
        <v>1057</v>
      </c>
      <c r="F129" s="161">
        <v>1</v>
      </c>
      <c r="G129" s="161" t="s">
        <v>1057</v>
      </c>
      <c r="H129" s="161" t="s">
        <v>1057</v>
      </c>
      <c r="I129" s="161" t="s">
        <v>1057</v>
      </c>
      <c r="J129" s="161" t="s">
        <v>1057</v>
      </c>
      <c r="K129" s="161" t="s">
        <v>1057</v>
      </c>
      <c r="L129" s="160" t="s">
        <v>1057</v>
      </c>
      <c r="M129" s="160" t="s">
        <v>838</v>
      </c>
      <c r="N129" s="160" t="s">
        <v>822</v>
      </c>
      <c r="O129" s="160" t="s">
        <v>1071</v>
      </c>
      <c r="P129" s="160" t="s">
        <v>1059</v>
      </c>
      <c r="Q129" s="160" t="s">
        <v>1246</v>
      </c>
      <c r="R129" s="162" t="s">
        <v>1297</v>
      </c>
      <c r="S129" s="160" t="s">
        <v>1308</v>
      </c>
      <c r="T129" s="160" t="s">
        <v>1061</v>
      </c>
      <c r="U129" s="160" t="s">
        <v>801</v>
      </c>
      <c r="V129" s="160" t="s">
        <v>1057</v>
      </c>
    </row>
    <row r="130" spans="2:22" ht="11.25">
      <c r="B130" s="161" t="s">
        <v>1057</v>
      </c>
      <c r="C130" s="161" t="s">
        <v>1057</v>
      </c>
      <c r="D130" s="161" t="s">
        <v>1057</v>
      </c>
      <c r="E130" s="161" t="s">
        <v>1057</v>
      </c>
      <c r="F130" s="161">
        <v>7</v>
      </c>
      <c r="G130" s="161" t="s">
        <v>1057</v>
      </c>
      <c r="H130" s="161" t="s">
        <v>1057</v>
      </c>
      <c r="I130" s="161" t="s">
        <v>1057</v>
      </c>
      <c r="J130" s="161" t="s">
        <v>1057</v>
      </c>
      <c r="K130" s="161" t="s">
        <v>1057</v>
      </c>
      <c r="L130" s="160" t="s">
        <v>1305</v>
      </c>
      <c r="M130" s="160" t="s">
        <v>1304</v>
      </c>
      <c r="N130" s="160" t="s">
        <v>826</v>
      </c>
      <c r="O130" s="160" t="s">
        <v>1086</v>
      </c>
      <c r="P130" s="160" t="s">
        <v>1059</v>
      </c>
      <c r="Q130" s="160" t="str">
        <f>CONCATENATE(25+(FLOOR(Data!E25/2,1)*5)," ft.")</f>
        <v>25 ft.</v>
      </c>
      <c r="R130" s="162" t="s">
        <v>1144</v>
      </c>
      <c r="S130" s="160" t="s">
        <v>1069</v>
      </c>
      <c r="T130" s="160" t="s">
        <v>1306</v>
      </c>
      <c r="U130" s="160" t="s">
        <v>805</v>
      </c>
      <c r="V130" s="160" t="s">
        <v>1134</v>
      </c>
    </row>
    <row r="131" spans="2:22" ht="11.25">
      <c r="B131" s="161" t="s">
        <v>1057</v>
      </c>
      <c r="C131" s="161" t="s">
        <v>1057</v>
      </c>
      <c r="D131" s="161" t="s">
        <v>1057</v>
      </c>
      <c r="E131" s="161" t="s">
        <v>1057</v>
      </c>
      <c r="F131" s="161" t="s">
        <v>1057</v>
      </c>
      <c r="G131" s="161">
        <v>1</v>
      </c>
      <c r="H131" s="161" t="s">
        <v>1057</v>
      </c>
      <c r="I131" s="161">
        <v>1</v>
      </c>
      <c r="J131" s="161" t="s">
        <v>1057</v>
      </c>
      <c r="K131" s="161" t="s">
        <v>1057</v>
      </c>
      <c r="L131" s="160" t="s">
        <v>1057</v>
      </c>
      <c r="M131" s="160" t="s">
        <v>1307</v>
      </c>
      <c r="N131" s="160" t="s">
        <v>822</v>
      </c>
      <c r="O131" s="160" t="s">
        <v>1067</v>
      </c>
      <c r="P131" s="160" t="s">
        <v>1059</v>
      </c>
      <c r="Q131" s="160" t="str">
        <f>CONCATENATE(400+(40*Data!E25)," ft.")</f>
        <v>440 ft.</v>
      </c>
      <c r="R131" s="162" t="s">
        <v>1297</v>
      </c>
      <c r="S131" s="160" t="s">
        <v>1308</v>
      </c>
      <c r="T131" s="160" t="s">
        <v>1061</v>
      </c>
      <c r="U131" s="160" t="s">
        <v>801</v>
      </c>
      <c r="V131" s="160" t="s">
        <v>1057</v>
      </c>
    </row>
    <row r="132" spans="2:22" ht="11.25">
      <c r="B132" s="161">
        <v>1</v>
      </c>
      <c r="C132" s="161" t="s">
        <v>1057</v>
      </c>
      <c r="D132" s="161" t="s">
        <v>1057</v>
      </c>
      <c r="E132" s="161" t="s">
        <v>1057</v>
      </c>
      <c r="F132" s="161">
        <v>1</v>
      </c>
      <c r="G132" s="161" t="s">
        <v>1057</v>
      </c>
      <c r="H132" s="161" t="s">
        <v>1057</v>
      </c>
      <c r="I132" s="161" t="s">
        <v>1057</v>
      </c>
      <c r="J132" s="161" t="s">
        <v>1057</v>
      </c>
      <c r="K132" s="161" t="s">
        <v>1057</v>
      </c>
      <c r="L132" s="160" t="s">
        <v>1057</v>
      </c>
      <c r="M132" s="160" t="s">
        <v>839</v>
      </c>
      <c r="N132" s="160" t="s">
        <v>822</v>
      </c>
      <c r="O132" s="160" t="s">
        <v>1071</v>
      </c>
      <c r="P132" s="160" t="s">
        <v>1059</v>
      </c>
      <c r="Q132" s="160" t="s">
        <v>1246</v>
      </c>
      <c r="R132" s="162" t="s">
        <v>1297</v>
      </c>
      <c r="S132" s="160" t="s">
        <v>1308</v>
      </c>
      <c r="T132" s="160" t="s">
        <v>1061</v>
      </c>
      <c r="U132" s="160" t="s">
        <v>801</v>
      </c>
      <c r="V132" s="160" t="s">
        <v>1057</v>
      </c>
    </row>
    <row r="133" spans="2:22" ht="11.25">
      <c r="B133" s="161">
        <v>1</v>
      </c>
      <c r="C133" s="161" t="s">
        <v>1057</v>
      </c>
      <c r="D133" s="161" t="s">
        <v>1057</v>
      </c>
      <c r="E133" s="161" t="s">
        <v>1057</v>
      </c>
      <c r="F133" s="161">
        <v>1</v>
      </c>
      <c r="G133" s="161" t="s">
        <v>1057</v>
      </c>
      <c r="H133" s="161" t="s">
        <v>1057</v>
      </c>
      <c r="I133" s="161" t="s">
        <v>1057</v>
      </c>
      <c r="J133" s="161" t="s">
        <v>1057</v>
      </c>
      <c r="K133" s="161" t="s">
        <v>1057</v>
      </c>
      <c r="L133" s="160" t="s">
        <v>1057</v>
      </c>
      <c r="M133" s="160" t="s">
        <v>840</v>
      </c>
      <c r="N133" s="160" t="s">
        <v>822</v>
      </c>
      <c r="O133" s="160" t="s">
        <v>1071</v>
      </c>
      <c r="P133" s="160" t="s">
        <v>1059</v>
      </c>
      <c r="Q133" s="160" t="s">
        <v>1246</v>
      </c>
      <c r="R133" s="162" t="s">
        <v>1297</v>
      </c>
      <c r="S133" s="160" t="s">
        <v>1308</v>
      </c>
      <c r="T133" s="160" t="s">
        <v>1061</v>
      </c>
      <c r="U133" s="160" t="s">
        <v>801</v>
      </c>
      <c r="V133" s="160" t="s">
        <v>1057</v>
      </c>
    </row>
    <row r="134" spans="2:22" ht="11.25">
      <c r="B134" s="161">
        <v>1</v>
      </c>
      <c r="C134" s="161" t="s">
        <v>1057</v>
      </c>
      <c r="D134" s="161" t="s">
        <v>1057</v>
      </c>
      <c r="E134" s="161" t="s">
        <v>1057</v>
      </c>
      <c r="F134" s="161">
        <v>1</v>
      </c>
      <c r="G134" s="161">
        <v>1</v>
      </c>
      <c r="H134" s="161">
        <v>1</v>
      </c>
      <c r="I134" s="161">
        <v>1</v>
      </c>
      <c r="J134" s="161">
        <v>1</v>
      </c>
      <c r="K134" s="161">
        <v>1</v>
      </c>
      <c r="L134" s="160" t="s">
        <v>1372</v>
      </c>
      <c r="M134" s="160" t="s">
        <v>843</v>
      </c>
      <c r="N134" s="160" t="s">
        <v>845</v>
      </c>
      <c r="O134" s="160" t="s">
        <v>1067</v>
      </c>
      <c r="P134" s="160" t="s">
        <v>1059</v>
      </c>
      <c r="Q134" s="160" t="s">
        <v>799</v>
      </c>
      <c r="R134" s="162" t="s">
        <v>1152</v>
      </c>
      <c r="S134" s="160" t="s">
        <v>1139</v>
      </c>
      <c r="T134" s="160" t="s">
        <v>1153</v>
      </c>
      <c r="U134" s="160" t="s">
        <v>1073</v>
      </c>
      <c r="V134" s="160" t="s">
        <v>1057</v>
      </c>
    </row>
    <row r="135" spans="2:22" ht="11.25">
      <c r="B135" s="161" t="s">
        <v>1057</v>
      </c>
      <c r="C135" s="161" t="s">
        <v>1057</v>
      </c>
      <c r="D135" s="161" t="s">
        <v>1057</v>
      </c>
      <c r="E135" s="161" t="s">
        <v>1057</v>
      </c>
      <c r="F135" s="161">
        <v>1</v>
      </c>
      <c r="G135" s="161" t="s">
        <v>1057</v>
      </c>
      <c r="H135" s="161">
        <v>1</v>
      </c>
      <c r="I135" s="161" t="s">
        <v>1057</v>
      </c>
      <c r="J135" s="161" t="s">
        <v>1057</v>
      </c>
      <c r="K135" s="161" t="s">
        <v>1057</v>
      </c>
      <c r="L135" s="160" t="s">
        <v>1057</v>
      </c>
      <c r="M135" s="160" t="s">
        <v>841</v>
      </c>
      <c r="N135" s="160" t="s">
        <v>1162</v>
      </c>
      <c r="O135" s="160" t="s">
        <v>1071</v>
      </c>
      <c r="P135" s="160" t="s">
        <v>1059</v>
      </c>
      <c r="Q135" s="160" t="s">
        <v>817</v>
      </c>
      <c r="R135" s="162" t="s">
        <v>1084</v>
      </c>
      <c r="S135" s="160" t="s">
        <v>1135</v>
      </c>
      <c r="T135" s="160" t="s">
        <v>1061</v>
      </c>
      <c r="U135" s="160" t="s">
        <v>801</v>
      </c>
      <c r="V135" s="160" t="s">
        <v>1057</v>
      </c>
    </row>
    <row r="136" spans="2:22" ht="11.25">
      <c r="B136" s="161" t="s">
        <v>1057</v>
      </c>
      <c r="C136" s="161" t="s">
        <v>1057</v>
      </c>
      <c r="D136" s="161" t="s">
        <v>1057</v>
      </c>
      <c r="E136" s="161">
        <v>1</v>
      </c>
      <c r="F136" s="161">
        <v>1</v>
      </c>
      <c r="G136" s="161" t="s">
        <v>1057</v>
      </c>
      <c r="H136" s="161" t="s">
        <v>1057</v>
      </c>
      <c r="I136" s="161" t="s">
        <v>1057</v>
      </c>
      <c r="J136" s="161" t="s">
        <v>1057</v>
      </c>
      <c r="K136" s="161" t="s">
        <v>1057</v>
      </c>
      <c r="L136" s="160" t="s">
        <v>1057</v>
      </c>
      <c r="M136" s="160" t="s">
        <v>842</v>
      </c>
      <c r="N136" s="160" t="s">
        <v>826</v>
      </c>
      <c r="O136" s="160" t="s">
        <v>1071</v>
      </c>
      <c r="P136" s="160" t="s">
        <v>1059</v>
      </c>
      <c r="Q136" s="160" t="str">
        <f>CONCATENATE(100+(10*Data!E25)," ft.")</f>
        <v>110 ft.</v>
      </c>
      <c r="R136" s="162" t="s">
        <v>1156</v>
      </c>
      <c r="S136" s="160" t="str">
        <f>CONCATENATE(Data!E25," min.")</f>
        <v>1 min.</v>
      </c>
      <c r="T136" s="160" t="s">
        <v>1141</v>
      </c>
      <c r="U136" s="160" t="s">
        <v>805</v>
      </c>
      <c r="V136" s="160" t="s">
        <v>1057</v>
      </c>
    </row>
    <row r="137" spans="2:22" ht="11.25">
      <c r="B137" s="161" t="s">
        <v>1057</v>
      </c>
      <c r="C137" s="161" t="s">
        <v>1057</v>
      </c>
      <c r="D137" s="161">
        <v>1</v>
      </c>
      <c r="E137" s="161" t="s">
        <v>1057</v>
      </c>
      <c r="F137" s="161" t="s">
        <v>1057</v>
      </c>
      <c r="G137" s="161" t="s">
        <v>1057</v>
      </c>
      <c r="H137" s="161" t="s">
        <v>1057</v>
      </c>
      <c r="I137" s="161" t="s">
        <v>1057</v>
      </c>
      <c r="J137" s="161">
        <v>1</v>
      </c>
      <c r="K137" s="161">
        <v>1</v>
      </c>
      <c r="L137" s="160" t="s">
        <v>1313</v>
      </c>
      <c r="M137" s="160" t="s">
        <v>1312</v>
      </c>
      <c r="N137" s="160" t="s">
        <v>822</v>
      </c>
      <c r="O137" s="160" t="s">
        <v>1067</v>
      </c>
      <c r="P137" s="160" t="s">
        <v>1059</v>
      </c>
      <c r="Q137" s="160" t="s">
        <v>1246</v>
      </c>
      <c r="R137" s="162" t="s">
        <v>1297</v>
      </c>
      <c r="S137" s="160" t="str">
        <f>CONCATENATE("Con., up to ",Data!E25," min. [D]")</f>
        <v>Con., up to 1 min. [D]</v>
      </c>
      <c r="T137" s="160" t="s">
        <v>1061</v>
      </c>
      <c r="U137" s="160" t="s">
        <v>801</v>
      </c>
      <c r="V137" s="160" t="s">
        <v>1057</v>
      </c>
    </row>
    <row r="138" spans="2:22" ht="11.25">
      <c r="B138" s="161" t="s">
        <v>1057</v>
      </c>
      <c r="C138" s="161" t="s">
        <v>1057</v>
      </c>
      <c r="D138" s="161">
        <v>4</v>
      </c>
      <c r="E138" s="161" t="s">
        <v>1057</v>
      </c>
      <c r="F138" s="161" t="s">
        <v>1057</v>
      </c>
      <c r="G138" s="161" t="s">
        <v>1057</v>
      </c>
      <c r="H138" s="161" t="s">
        <v>1057</v>
      </c>
      <c r="I138" s="161" t="s">
        <v>1057</v>
      </c>
      <c r="J138" s="161">
        <v>4</v>
      </c>
      <c r="K138" s="161">
        <v>4</v>
      </c>
      <c r="L138" s="160" t="s">
        <v>1057</v>
      </c>
      <c r="M138" s="160" t="s">
        <v>1310</v>
      </c>
      <c r="N138" s="160" t="s">
        <v>822</v>
      </c>
      <c r="O138" s="160" t="s">
        <v>1091</v>
      </c>
      <c r="P138" s="160" t="s">
        <v>1059</v>
      </c>
      <c r="Q138" s="160" t="s">
        <v>1165</v>
      </c>
      <c r="R138" s="162" t="s">
        <v>1311</v>
      </c>
      <c r="S138" s="160" t="s">
        <v>1139</v>
      </c>
      <c r="T138" s="160" t="s">
        <v>1061</v>
      </c>
      <c r="U138" s="160" t="s">
        <v>801</v>
      </c>
      <c r="V138" s="160" t="s">
        <v>1057</v>
      </c>
    </row>
    <row r="139" spans="2:22" ht="11.25">
      <c r="B139" s="161" t="s">
        <v>1057</v>
      </c>
      <c r="C139" s="161">
        <v>1</v>
      </c>
      <c r="D139" s="161">
        <v>1</v>
      </c>
      <c r="E139" s="161" t="s">
        <v>1057</v>
      </c>
      <c r="F139" s="161" t="s">
        <v>1057</v>
      </c>
      <c r="G139" s="161" t="s">
        <v>1057</v>
      </c>
      <c r="H139" s="161" t="s">
        <v>1057</v>
      </c>
      <c r="I139" s="161" t="s">
        <v>1057</v>
      </c>
      <c r="J139" s="161">
        <v>1</v>
      </c>
      <c r="K139" s="161">
        <v>1</v>
      </c>
      <c r="L139" s="160" t="s">
        <v>1334</v>
      </c>
      <c r="M139" s="160" t="s">
        <v>1333</v>
      </c>
      <c r="N139" s="160" t="s">
        <v>1179</v>
      </c>
      <c r="O139" s="160" t="s">
        <v>1067</v>
      </c>
      <c r="P139" s="160" t="s">
        <v>1059</v>
      </c>
      <c r="Q139" s="160" t="s">
        <v>817</v>
      </c>
      <c r="R139" s="162" t="s">
        <v>1084</v>
      </c>
      <c r="S139" s="160" t="str">
        <f>CONCATENATE(Data!E25*10," min. [D]")</f>
        <v>10 min. [D]</v>
      </c>
      <c r="T139" s="160" t="s">
        <v>1061</v>
      </c>
      <c r="U139" s="160" t="s">
        <v>801</v>
      </c>
      <c r="V139" s="160" t="s">
        <v>1057</v>
      </c>
    </row>
    <row r="140" spans="2:22" ht="11.25">
      <c r="B140" s="161" t="s">
        <v>1057</v>
      </c>
      <c r="C140" s="161" t="s">
        <v>1057</v>
      </c>
      <c r="D140" s="161" t="s">
        <v>1057</v>
      </c>
      <c r="E140" s="161" t="s">
        <v>1057</v>
      </c>
      <c r="F140" s="161" t="s">
        <v>1057</v>
      </c>
      <c r="G140" s="161">
        <v>1</v>
      </c>
      <c r="H140" s="161" t="s">
        <v>1057</v>
      </c>
      <c r="I140" s="161">
        <v>1</v>
      </c>
      <c r="J140" s="161" t="s">
        <v>1057</v>
      </c>
      <c r="K140" s="161" t="s">
        <v>1057</v>
      </c>
      <c r="L140" s="160" t="s">
        <v>1057</v>
      </c>
      <c r="M140" s="160" t="s">
        <v>1314</v>
      </c>
      <c r="N140" s="160" t="s">
        <v>822</v>
      </c>
      <c r="O140" s="160" t="s">
        <v>1067</v>
      </c>
      <c r="P140" s="160" t="s">
        <v>1059</v>
      </c>
      <c r="Q140" s="160" t="s">
        <v>1246</v>
      </c>
      <c r="R140" s="162" t="s">
        <v>1297</v>
      </c>
      <c r="S140" s="160" t="str">
        <f>CONCATENATE("Con., up to ",Data!E25*10," min. [D]")</f>
        <v>Con., up to 10 min. [D]</v>
      </c>
      <c r="T140" s="160" t="s">
        <v>1061</v>
      </c>
      <c r="U140" s="160" t="s">
        <v>801</v>
      </c>
      <c r="V140" s="160" t="s">
        <v>1057</v>
      </c>
    </row>
    <row r="141" spans="2:22" ht="11.25">
      <c r="B141" s="161" t="s">
        <v>1057</v>
      </c>
      <c r="C141" s="161" t="s">
        <v>1057</v>
      </c>
      <c r="D141" s="161" t="s">
        <v>1057</v>
      </c>
      <c r="E141" s="161">
        <v>1</v>
      </c>
      <c r="F141" s="161">
        <v>1</v>
      </c>
      <c r="G141" s="161" t="s">
        <v>1057</v>
      </c>
      <c r="H141" s="161">
        <v>1</v>
      </c>
      <c r="I141" s="161" t="s">
        <v>1057</v>
      </c>
      <c r="J141" s="161">
        <v>1</v>
      </c>
      <c r="K141" s="161">
        <v>1</v>
      </c>
      <c r="L141" s="160" t="s">
        <v>176</v>
      </c>
      <c r="M141" s="160" t="s">
        <v>848</v>
      </c>
      <c r="N141" s="160" t="s">
        <v>811</v>
      </c>
      <c r="O141" s="160" t="s">
        <v>1071</v>
      </c>
      <c r="P141" s="160" t="s">
        <v>1059</v>
      </c>
      <c r="Q141" s="160" t="s">
        <v>799</v>
      </c>
      <c r="R141" s="162" t="s">
        <v>1172</v>
      </c>
      <c r="S141" s="160" t="str">
        <f>CONCATENATE(Data!E25," min.")</f>
        <v>1 min.</v>
      </c>
      <c r="T141" s="160" t="s">
        <v>1081</v>
      </c>
      <c r="U141" s="160" t="s">
        <v>1082</v>
      </c>
      <c r="V141" s="160" t="s">
        <v>1057</v>
      </c>
    </row>
    <row r="142" spans="2:22" ht="11.25">
      <c r="B142" s="161" t="s">
        <v>1057</v>
      </c>
      <c r="C142" s="161" t="s">
        <v>1057</v>
      </c>
      <c r="D142" s="161" t="s">
        <v>1057</v>
      </c>
      <c r="E142" s="161" t="s">
        <v>1057</v>
      </c>
      <c r="F142" s="161">
        <v>1</v>
      </c>
      <c r="G142" s="161" t="s">
        <v>1057</v>
      </c>
      <c r="H142" s="161" t="s">
        <v>1057</v>
      </c>
      <c r="I142" s="161" t="s">
        <v>1057</v>
      </c>
      <c r="J142" s="161" t="s">
        <v>1057</v>
      </c>
      <c r="K142" s="161" t="s">
        <v>1057</v>
      </c>
      <c r="L142" s="160" t="s">
        <v>1383</v>
      </c>
      <c r="M142" s="160" t="s">
        <v>844</v>
      </c>
      <c r="N142" s="160" t="s">
        <v>845</v>
      </c>
      <c r="O142" s="160" t="s">
        <v>1067</v>
      </c>
      <c r="P142" s="160" t="s">
        <v>1059</v>
      </c>
      <c r="Q142" s="160" t="s">
        <v>817</v>
      </c>
      <c r="R142" s="162" t="s">
        <v>1084</v>
      </c>
      <c r="S142" s="160" t="str">
        <f>CONCATENATE(Data!E25," min. [D]")</f>
        <v>1 min. [D]</v>
      </c>
      <c r="T142" s="160" t="s">
        <v>1061</v>
      </c>
      <c r="U142" s="160" t="s">
        <v>801</v>
      </c>
      <c r="V142" s="160" t="s">
        <v>1057</v>
      </c>
    </row>
    <row r="143" spans="2:22" ht="11.25">
      <c r="B143" s="161" t="s">
        <v>1057</v>
      </c>
      <c r="C143" s="161" t="s">
        <v>1057</v>
      </c>
      <c r="D143" s="161" t="s">
        <v>1057</v>
      </c>
      <c r="E143" s="161" t="s">
        <v>1057</v>
      </c>
      <c r="F143" s="161">
        <v>7</v>
      </c>
      <c r="G143" s="161" t="s">
        <v>1057</v>
      </c>
      <c r="H143" s="161" t="s">
        <v>1057</v>
      </c>
      <c r="I143" s="161" t="s">
        <v>1057</v>
      </c>
      <c r="J143" s="161" t="s">
        <v>1057</v>
      </c>
      <c r="K143" s="161" t="s">
        <v>1057</v>
      </c>
      <c r="L143" s="160" t="s">
        <v>1319</v>
      </c>
      <c r="M143" s="160" t="s">
        <v>1318</v>
      </c>
      <c r="N143" s="160" t="s">
        <v>1162</v>
      </c>
      <c r="O143" s="160" t="s">
        <v>1104</v>
      </c>
      <c r="P143" s="160" t="s">
        <v>1059</v>
      </c>
      <c r="Q143" s="160" t="s">
        <v>1165</v>
      </c>
      <c r="R143" s="162" t="s">
        <v>1320</v>
      </c>
      <c r="S143" s="160" t="s">
        <v>1069</v>
      </c>
      <c r="T143" s="160" t="s">
        <v>1087</v>
      </c>
      <c r="U143" s="160" t="s">
        <v>805</v>
      </c>
      <c r="V143" s="160" t="s">
        <v>1057</v>
      </c>
    </row>
    <row r="144" spans="2:22" ht="11.25">
      <c r="B144" s="161" t="s">
        <v>1057</v>
      </c>
      <c r="C144" s="161">
        <v>4</v>
      </c>
      <c r="D144" s="161">
        <v>4</v>
      </c>
      <c r="E144" s="161" t="s">
        <v>1057</v>
      </c>
      <c r="F144" s="161" t="s">
        <v>1057</v>
      </c>
      <c r="G144" s="161" t="s">
        <v>1057</v>
      </c>
      <c r="H144" s="161" t="s">
        <v>1057</v>
      </c>
      <c r="I144" s="161" t="s">
        <v>1057</v>
      </c>
      <c r="J144" s="161">
        <v>4</v>
      </c>
      <c r="K144" s="161">
        <v>4</v>
      </c>
      <c r="L144" s="160" t="s">
        <v>1322</v>
      </c>
      <c r="M144" s="160" t="s">
        <v>1321</v>
      </c>
      <c r="N144" s="160" t="s">
        <v>815</v>
      </c>
      <c r="O144" s="160" t="s">
        <v>1104</v>
      </c>
      <c r="P144" s="160" t="s">
        <v>1059</v>
      </c>
      <c r="Q144" s="160" t="str">
        <f>CONCATENATE(400+(40*Data!E25)," ft.")</f>
        <v>440 ft.</v>
      </c>
      <c r="R144" s="162" t="s">
        <v>1323</v>
      </c>
      <c r="S144" s="160" t="s">
        <v>1069</v>
      </c>
      <c r="T144" s="160" t="s">
        <v>1324</v>
      </c>
      <c r="U144" s="160" t="s">
        <v>1325</v>
      </c>
      <c r="V144" s="160" t="s">
        <v>1057</v>
      </c>
    </row>
    <row r="145" spans="2:22" ht="11.25">
      <c r="B145" s="161" t="s">
        <v>1057</v>
      </c>
      <c r="C145" s="161" t="s">
        <v>1057</v>
      </c>
      <c r="D145" s="161" t="s">
        <v>1057</v>
      </c>
      <c r="E145" s="161" t="s">
        <v>1057</v>
      </c>
      <c r="F145" s="161">
        <v>4</v>
      </c>
      <c r="G145" s="161" t="s">
        <v>1057</v>
      </c>
      <c r="H145" s="161" t="s">
        <v>1057</v>
      </c>
      <c r="I145" s="161" t="s">
        <v>1057</v>
      </c>
      <c r="J145" s="161">
        <v>4</v>
      </c>
      <c r="K145" s="161">
        <v>4</v>
      </c>
      <c r="L145" s="160" t="s">
        <v>1057</v>
      </c>
      <c r="M145" s="160" t="s">
        <v>917</v>
      </c>
      <c r="N145" s="160" t="s">
        <v>845</v>
      </c>
      <c r="O145" s="160" t="s">
        <v>1067</v>
      </c>
      <c r="P145" s="160" t="s">
        <v>1059</v>
      </c>
      <c r="Q145" s="160" t="str">
        <f>CONCATENATE(100+(10*Data!E25)," ft.")</f>
        <v>110 ft.</v>
      </c>
      <c r="R145" s="162" t="s">
        <v>1326</v>
      </c>
      <c r="S145" s="160" t="str">
        <f>CONCATENATE(Data!E25," min.")</f>
        <v>1 min.</v>
      </c>
      <c r="T145" s="160" t="s">
        <v>1061</v>
      </c>
      <c r="U145" s="160" t="s">
        <v>1217</v>
      </c>
      <c r="V145" s="160" t="s">
        <v>1057</v>
      </c>
    </row>
    <row r="146" spans="2:22" ht="11.25">
      <c r="B146" s="161" t="s">
        <v>1057</v>
      </c>
      <c r="C146" s="161" t="s">
        <v>1057</v>
      </c>
      <c r="D146" s="161" t="s">
        <v>1057</v>
      </c>
      <c r="E146" s="161" t="s">
        <v>1057</v>
      </c>
      <c r="F146" s="161">
        <v>8</v>
      </c>
      <c r="G146" s="161" t="s">
        <v>1057</v>
      </c>
      <c r="H146" s="161" t="s">
        <v>1057</v>
      </c>
      <c r="I146" s="161" t="s">
        <v>1057</v>
      </c>
      <c r="J146" s="161">
        <v>8</v>
      </c>
      <c r="K146" s="161">
        <v>8</v>
      </c>
      <c r="L146" s="160" t="s">
        <v>1057</v>
      </c>
      <c r="M146" s="160" t="s">
        <v>1327</v>
      </c>
      <c r="N146" s="160" t="s">
        <v>845</v>
      </c>
      <c r="O146" s="160" t="s">
        <v>1067</v>
      </c>
      <c r="P146" s="160" t="s">
        <v>1059</v>
      </c>
      <c r="Q146" s="160" t="str">
        <f>CONCATENATE(100+(10*Data!E25)," ft.")</f>
        <v>110 ft.</v>
      </c>
      <c r="R146" s="162" t="s">
        <v>1078</v>
      </c>
      <c r="S146" s="160" t="str">
        <f>CONCATENATE(Data!E25," days")</f>
        <v>1 days</v>
      </c>
      <c r="T146" s="160" t="s">
        <v>1061</v>
      </c>
      <c r="U146" s="160" t="s">
        <v>805</v>
      </c>
      <c r="V146" s="160" t="s">
        <v>1057</v>
      </c>
    </row>
    <row r="147" spans="2:22" ht="11.25">
      <c r="B147" s="161" t="s">
        <v>1057</v>
      </c>
      <c r="C147" s="161" t="s">
        <v>1057</v>
      </c>
      <c r="D147" s="161" t="s">
        <v>1057</v>
      </c>
      <c r="E147" s="161" t="s">
        <v>1057</v>
      </c>
      <c r="F147" s="161" t="s">
        <v>1057</v>
      </c>
      <c r="G147" s="161">
        <v>3</v>
      </c>
      <c r="H147" s="161" t="s">
        <v>1057</v>
      </c>
      <c r="I147" s="161">
        <v>3</v>
      </c>
      <c r="J147" s="161" t="s">
        <v>1057</v>
      </c>
      <c r="K147" s="161" t="s">
        <v>1057</v>
      </c>
      <c r="L147" s="160" t="s">
        <v>1057</v>
      </c>
      <c r="M147" s="160" t="s">
        <v>1328</v>
      </c>
      <c r="N147" s="160" t="s">
        <v>811</v>
      </c>
      <c r="O147" s="160" t="s">
        <v>1071</v>
      </c>
      <c r="P147" s="160" t="s">
        <v>1059</v>
      </c>
      <c r="Q147" s="160" t="s">
        <v>1087</v>
      </c>
      <c r="R147" s="162" t="s">
        <v>1329</v>
      </c>
      <c r="S147" s="160" t="s">
        <v>1069</v>
      </c>
      <c r="T147" s="160" t="s">
        <v>1061</v>
      </c>
      <c r="U147" s="160" t="s">
        <v>801</v>
      </c>
      <c r="V147" s="160" t="s">
        <v>1057</v>
      </c>
    </row>
    <row r="148" spans="2:22" ht="11.25">
      <c r="B148" s="161" t="s">
        <v>1057</v>
      </c>
      <c r="C148" s="161" t="s">
        <v>1057</v>
      </c>
      <c r="D148" s="161" t="s">
        <v>1057</v>
      </c>
      <c r="E148" s="161" t="s">
        <v>1057</v>
      </c>
      <c r="F148" s="161">
        <v>4</v>
      </c>
      <c r="G148" s="161" t="s">
        <v>1057</v>
      </c>
      <c r="H148" s="161">
        <v>3</v>
      </c>
      <c r="I148" s="161" t="s">
        <v>1057</v>
      </c>
      <c r="J148" s="161" t="s">
        <v>1057</v>
      </c>
      <c r="K148" s="161" t="s">
        <v>1057</v>
      </c>
      <c r="L148" s="160" t="s">
        <v>1057</v>
      </c>
      <c r="M148" s="160" t="s">
        <v>918</v>
      </c>
      <c r="N148" s="160" t="s">
        <v>822</v>
      </c>
      <c r="O148" s="160" t="s">
        <v>1071</v>
      </c>
      <c r="P148" s="160" t="s">
        <v>1059</v>
      </c>
      <c r="Q148" s="160" t="str">
        <f>CONCATENATE(25+(FLOOR(Data!E25/2,1)*5)," ft.")</f>
        <v>25 ft.</v>
      </c>
      <c r="R148" s="162" t="str">
        <f>CONCATENATE("Targets: ",Data!E25," creatures within 30 ft. of each other")</f>
        <v>Targets: 1 creatures within 30 ft. of each other</v>
      </c>
      <c r="S148" s="160" t="str">
        <f>CONCATENATE("Con., up to ",Data!E25," rnds")</f>
        <v>Con., up to 1 rnds</v>
      </c>
      <c r="T148" s="160" t="s">
        <v>1141</v>
      </c>
      <c r="U148" s="160" t="s">
        <v>801</v>
      </c>
      <c r="V148" s="160" t="s">
        <v>1057</v>
      </c>
    </row>
    <row r="149" spans="2:22" ht="11.25">
      <c r="B149" s="161" t="s">
        <v>1057</v>
      </c>
      <c r="C149" s="161" t="s">
        <v>1057</v>
      </c>
      <c r="D149" s="161" t="s">
        <v>1057</v>
      </c>
      <c r="E149" s="161" t="s">
        <v>1057</v>
      </c>
      <c r="F149" s="161">
        <v>8</v>
      </c>
      <c r="G149" s="161" t="s">
        <v>1057</v>
      </c>
      <c r="H149" s="161" t="s">
        <v>1057</v>
      </c>
      <c r="I149" s="161" t="s">
        <v>1057</v>
      </c>
      <c r="J149" s="161">
        <v>8</v>
      </c>
      <c r="K149" s="161">
        <v>8</v>
      </c>
      <c r="L149" s="160" t="s">
        <v>1331</v>
      </c>
      <c r="M149" s="160" t="s">
        <v>1330</v>
      </c>
      <c r="N149" s="160" t="s">
        <v>822</v>
      </c>
      <c r="O149" s="160" t="s">
        <v>1071</v>
      </c>
      <c r="P149" s="160" t="s">
        <v>1118</v>
      </c>
      <c r="Q149" s="160" t="s">
        <v>1119</v>
      </c>
      <c r="R149" s="162" t="s">
        <v>1332</v>
      </c>
      <c r="S149" s="160" t="s">
        <v>1069</v>
      </c>
      <c r="T149" s="160" t="s">
        <v>1061</v>
      </c>
      <c r="U149" s="160" t="s">
        <v>801</v>
      </c>
      <c r="V149" s="160" t="s">
        <v>1057</v>
      </c>
    </row>
    <row r="150" spans="2:22" ht="11.25">
      <c r="B150" s="161" t="s">
        <v>1057</v>
      </c>
      <c r="C150" s="161" t="s">
        <v>1057</v>
      </c>
      <c r="D150" s="161" t="s">
        <v>1057</v>
      </c>
      <c r="E150" s="161" t="s">
        <v>1057</v>
      </c>
      <c r="F150" s="161" t="s">
        <v>1057</v>
      </c>
      <c r="G150" s="161" t="s">
        <v>1057</v>
      </c>
      <c r="H150" s="161" t="s">
        <v>1057</v>
      </c>
      <c r="I150" s="161" t="s">
        <v>1057</v>
      </c>
      <c r="J150" s="161">
        <v>1</v>
      </c>
      <c r="K150" s="161">
        <v>1</v>
      </c>
      <c r="L150" s="160" t="s">
        <v>1377</v>
      </c>
      <c r="M150" s="160" t="s">
        <v>1376</v>
      </c>
      <c r="N150" s="160" t="s">
        <v>811</v>
      </c>
      <c r="O150" s="160" t="s">
        <v>1091</v>
      </c>
      <c r="P150" s="160" t="s">
        <v>1108</v>
      </c>
      <c r="Q150" s="160" t="str">
        <f>CONCATENATE(25+(FLOOR(Data!E25/2,1)*5)," ft.")</f>
        <v>25 ft.</v>
      </c>
      <c r="R150" s="162" t="s">
        <v>1214</v>
      </c>
      <c r="S150" s="160" t="str">
        <f>CONCATENATE(Data!E25," min. [D]")</f>
        <v>1 min. [D]</v>
      </c>
      <c r="T150" s="160" t="s">
        <v>1090</v>
      </c>
      <c r="U150" s="160" t="s">
        <v>805</v>
      </c>
      <c r="V150" s="160" t="s">
        <v>1057</v>
      </c>
    </row>
    <row r="151" spans="2:22" ht="11.25">
      <c r="B151" s="161" t="s">
        <v>1057</v>
      </c>
      <c r="C151" s="161" t="s">
        <v>1057</v>
      </c>
      <c r="D151" s="161" t="s">
        <v>1057</v>
      </c>
      <c r="E151" s="161" t="s">
        <v>1057</v>
      </c>
      <c r="F151" s="161" t="s">
        <v>1057</v>
      </c>
      <c r="G151" s="161" t="s">
        <v>1057</v>
      </c>
      <c r="H151" s="161" t="s">
        <v>1057</v>
      </c>
      <c r="I151" s="161" t="s">
        <v>1057</v>
      </c>
      <c r="J151" s="161">
        <v>6</v>
      </c>
      <c r="K151" s="161">
        <v>6</v>
      </c>
      <c r="L151" s="160" t="s">
        <v>1336</v>
      </c>
      <c r="M151" s="160" t="s">
        <v>1335</v>
      </c>
      <c r="N151" s="160" t="s">
        <v>811</v>
      </c>
      <c r="O151" s="160" t="s">
        <v>1064</v>
      </c>
      <c r="P151" s="160" t="s">
        <v>1059</v>
      </c>
      <c r="Q151" s="160" t="str">
        <f>CONCATENATE(100+(10*Data!E25)," ft.")</f>
        <v>110 ft.</v>
      </c>
      <c r="R151" s="162" t="s">
        <v>1326</v>
      </c>
      <c r="S151" s="160" t="s">
        <v>1069</v>
      </c>
      <c r="T151" s="160" t="s">
        <v>1337</v>
      </c>
      <c r="U151" s="160" t="s">
        <v>805</v>
      </c>
      <c r="V151" s="160" t="s">
        <v>1057</v>
      </c>
    </row>
    <row r="152" spans="2:22" ht="11.25">
      <c r="B152" s="161" t="s">
        <v>1057</v>
      </c>
      <c r="C152" s="161" t="s">
        <v>1057</v>
      </c>
      <c r="D152" s="161" t="s">
        <v>1057</v>
      </c>
      <c r="E152" s="161" t="s">
        <v>1057</v>
      </c>
      <c r="F152" s="161">
        <v>4</v>
      </c>
      <c r="G152" s="161" t="s">
        <v>1057</v>
      </c>
      <c r="H152" s="161" t="s">
        <v>1057</v>
      </c>
      <c r="I152" s="161" t="s">
        <v>1057</v>
      </c>
      <c r="J152" s="161">
        <v>5</v>
      </c>
      <c r="K152" s="161">
        <v>5</v>
      </c>
      <c r="L152" s="160" t="s">
        <v>1057</v>
      </c>
      <c r="M152" s="160" t="s">
        <v>919</v>
      </c>
      <c r="N152" s="160" t="s">
        <v>845</v>
      </c>
      <c r="O152" s="160" t="s">
        <v>1071</v>
      </c>
      <c r="P152" s="160" t="s">
        <v>1059</v>
      </c>
      <c r="Q152" s="160" t="str">
        <f>CONCATENATE(25+(FLOOR(Data!E25/2,1)*5)," ft.")</f>
        <v>25 ft.</v>
      </c>
      <c r="R152" s="162" t="s">
        <v>1338</v>
      </c>
      <c r="S152" s="160" t="s">
        <v>1069</v>
      </c>
      <c r="T152" s="160" t="s">
        <v>1087</v>
      </c>
      <c r="U152" s="160" t="s">
        <v>805</v>
      </c>
      <c r="V152" s="160" t="s">
        <v>1057</v>
      </c>
    </row>
    <row r="153" spans="2:22" ht="11.25">
      <c r="B153" s="161" t="s">
        <v>1057</v>
      </c>
      <c r="C153" s="161" t="s">
        <v>1057</v>
      </c>
      <c r="D153" s="161" t="s">
        <v>1057</v>
      </c>
      <c r="E153" s="161" t="s">
        <v>1057</v>
      </c>
      <c r="F153" s="161">
        <v>5</v>
      </c>
      <c r="G153" s="161" t="s">
        <v>1057</v>
      </c>
      <c r="H153" s="161">
        <v>4</v>
      </c>
      <c r="I153" s="161" t="s">
        <v>1057</v>
      </c>
      <c r="J153" s="161" t="s">
        <v>1057</v>
      </c>
      <c r="L153" s="160" t="s">
        <v>1340</v>
      </c>
      <c r="M153" s="160" t="s">
        <v>1339</v>
      </c>
      <c r="N153" s="160" t="s">
        <v>845</v>
      </c>
      <c r="O153" s="160" t="s">
        <v>1071</v>
      </c>
      <c r="P153" s="160" t="s">
        <v>1059</v>
      </c>
      <c r="Q153" s="160" t="s">
        <v>799</v>
      </c>
      <c r="R153" s="162" t="s">
        <v>1341</v>
      </c>
      <c r="S153" s="160" t="str">
        <f>CONCATENATE(Data!E25," rnds or until dis.")</f>
        <v>1 rnds or until dis.</v>
      </c>
      <c r="T153" s="160" t="s">
        <v>1087</v>
      </c>
      <c r="U153" s="160" t="s">
        <v>1087</v>
      </c>
      <c r="V153" s="160" t="s">
        <v>1057</v>
      </c>
    </row>
    <row r="154" spans="2:22" ht="11.25">
      <c r="B154" s="161" t="s">
        <v>1057</v>
      </c>
      <c r="C154" s="161" t="s">
        <v>1057</v>
      </c>
      <c r="D154" s="161" t="s">
        <v>1057</v>
      </c>
      <c r="E154" s="161" t="s">
        <v>1057</v>
      </c>
      <c r="F154" s="161">
        <v>5</v>
      </c>
      <c r="G154" s="161" t="s">
        <v>1057</v>
      </c>
      <c r="H154" s="161">
        <v>4</v>
      </c>
      <c r="I154" s="161" t="s">
        <v>1057</v>
      </c>
      <c r="J154" s="161" t="s">
        <v>1057</v>
      </c>
      <c r="K154" s="161" t="s">
        <v>1057</v>
      </c>
      <c r="L154" s="160" t="s">
        <v>1343</v>
      </c>
      <c r="M154" s="160" t="s">
        <v>1342</v>
      </c>
      <c r="N154" s="160" t="s">
        <v>845</v>
      </c>
      <c r="O154" s="160" t="s">
        <v>1071</v>
      </c>
      <c r="P154" s="160" t="s">
        <v>1059</v>
      </c>
      <c r="Q154" s="160" t="s">
        <v>799</v>
      </c>
      <c r="R154" s="162" t="s">
        <v>1341</v>
      </c>
      <c r="S154" s="160" t="str">
        <f>CONCATENATE(Data!E25," rnds or until dis.")</f>
        <v>1 rnds or until dis.</v>
      </c>
      <c r="T154" s="160" t="s">
        <v>1087</v>
      </c>
      <c r="U154" s="160" t="s">
        <v>1087</v>
      </c>
      <c r="V154" s="160" t="s">
        <v>1057</v>
      </c>
    </row>
    <row r="155" spans="2:22" ht="11.25">
      <c r="B155" s="161" t="s">
        <v>1057</v>
      </c>
      <c r="C155" s="161" t="s">
        <v>1057</v>
      </c>
      <c r="D155" s="161" t="s">
        <v>1057</v>
      </c>
      <c r="E155" s="161" t="s">
        <v>1057</v>
      </c>
      <c r="F155" s="161">
        <v>5</v>
      </c>
      <c r="G155" s="161" t="s">
        <v>1057</v>
      </c>
      <c r="H155" s="161" t="s">
        <v>1057</v>
      </c>
      <c r="I155" s="161" t="s">
        <v>1057</v>
      </c>
      <c r="J155" s="161" t="s">
        <v>1057</v>
      </c>
      <c r="K155" s="161" t="s">
        <v>1057</v>
      </c>
      <c r="L155" s="160" t="s">
        <v>1345</v>
      </c>
      <c r="M155" s="160" t="s">
        <v>1344</v>
      </c>
      <c r="N155" s="160" t="s">
        <v>845</v>
      </c>
      <c r="O155" s="160" t="s">
        <v>1071</v>
      </c>
      <c r="P155" s="160" t="s">
        <v>1059</v>
      </c>
      <c r="Q155" s="160" t="s">
        <v>799</v>
      </c>
      <c r="R155" s="162" t="s">
        <v>1341</v>
      </c>
      <c r="S155" s="160" t="str">
        <f>CONCATENATE(Data!E25," rnds or until dis.")</f>
        <v>1 rnds or until dis.</v>
      </c>
      <c r="T155" s="160" t="s">
        <v>1087</v>
      </c>
      <c r="U155" s="160" t="s">
        <v>1087</v>
      </c>
      <c r="V155" s="160" t="s">
        <v>1057</v>
      </c>
    </row>
    <row r="156" spans="2:22" ht="11.25">
      <c r="B156" s="161" t="s">
        <v>1057</v>
      </c>
      <c r="C156" s="161" t="s">
        <v>1057</v>
      </c>
      <c r="D156" s="161" t="s">
        <v>1057</v>
      </c>
      <c r="E156" s="161" t="s">
        <v>1057</v>
      </c>
      <c r="F156" s="161">
        <v>5</v>
      </c>
      <c r="G156" s="161" t="s">
        <v>1057</v>
      </c>
      <c r="H156" s="161" t="s">
        <v>1057</v>
      </c>
      <c r="I156" s="161" t="s">
        <v>1057</v>
      </c>
      <c r="J156" s="161" t="s">
        <v>1057</v>
      </c>
      <c r="K156" s="161" t="s">
        <v>1057</v>
      </c>
      <c r="L156" s="160" t="s">
        <v>1347</v>
      </c>
      <c r="M156" s="160" t="s">
        <v>1346</v>
      </c>
      <c r="N156" s="160" t="s">
        <v>845</v>
      </c>
      <c r="O156" s="160" t="s">
        <v>1071</v>
      </c>
      <c r="P156" s="160" t="s">
        <v>1059</v>
      </c>
      <c r="Q156" s="160" t="s">
        <v>799</v>
      </c>
      <c r="R156" s="162" t="s">
        <v>1341</v>
      </c>
      <c r="S156" s="160" t="str">
        <f>CONCATENATE(Data!E25," rnds or until dis.")</f>
        <v>1 rnds or until dis.</v>
      </c>
      <c r="T156" s="160" t="s">
        <v>1087</v>
      </c>
      <c r="U156" s="160" t="s">
        <v>1087</v>
      </c>
      <c r="V156" s="160" t="s">
        <v>1057</v>
      </c>
    </row>
    <row r="157" spans="2:22" ht="11.25">
      <c r="B157" s="161" t="s">
        <v>1057</v>
      </c>
      <c r="C157" s="161" t="s">
        <v>1057</v>
      </c>
      <c r="D157" s="161">
        <v>3</v>
      </c>
      <c r="E157" s="161" t="s">
        <v>1057</v>
      </c>
      <c r="F157" s="161">
        <v>3</v>
      </c>
      <c r="G157" s="161">
        <v>4</v>
      </c>
      <c r="H157" s="161">
        <v>3</v>
      </c>
      <c r="I157" s="161" t="s">
        <v>1057</v>
      </c>
      <c r="J157" s="161">
        <v>3</v>
      </c>
      <c r="K157" s="161">
        <v>3</v>
      </c>
      <c r="L157" s="160" t="s">
        <v>1348</v>
      </c>
      <c r="M157" s="160" t="s">
        <v>888</v>
      </c>
      <c r="N157" s="160" t="s">
        <v>845</v>
      </c>
      <c r="O157" s="160" t="s">
        <v>1067</v>
      </c>
      <c r="P157" s="160" t="s">
        <v>1059</v>
      </c>
      <c r="Q157" s="160" t="str">
        <f>CONCATENATE(100+(10*Data!E25)," ft.")</f>
        <v>110 ft.</v>
      </c>
      <c r="R157" s="162" t="s">
        <v>1349</v>
      </c>
      <c r="S157" s="160" t="s">
        <v>1069</v>
      </c>
      <c r="T157" s="160" t="s">
        <v>1061</v>
      </c>
      <c r="U157" s="160" t="s">
        <v>801</v>
      </c>
      <c r="V157" s="160" t="s">
        <v>1057</v>
      </c>
    </row>
    <row r="158" spans="2:22" ht="11.25">
      <c r="B158" s="161" t="s">
        <v>1057</v>
      </c>
      <c r="C158" s="161" t="s">
        <v>1057</v>
      </c>
      <c r="D158" s="161">
        <v>5</v>
      </c>
      <c r="E158" s="161" t="s">
        <v>1057</v>
      </c>
      <c r="F158" s="161">
        <v>6</v>
      </c>
      <c r="G158" s="161">
        <v>6</v>
      </c>
      <c r="H158" s="161" t="s">
        <v>1057</v>
      </c>
      <c r="I158" s="161" t="s">
        <v>1057</v>
      </c>
      <c r="J158" s="161">
        <v>6</v>
      </c>
      <c r="K158" s="161">
        <v>6</v>
      </c>
      <c r="L158" s="160" t="s">
        <v>1057</v>
      </c>
      <c r="M158" s="160" t="s">
        <v>1350</v>
      </c>
      <c r="N158" s="160" t="s">
        <v>845</v>
      </c>
      <c r="O158" s="160" t="s">
        <v>1067</v>
      </c>
      <c r="P158" s="160" t="s">
        <v>1059</v>
      </c>
      <c r="Q158" s="160" t="str">
        <f>CONCATENATE(100+(10*Data!E25)," ft.")</f>
        <v>110 ft.</v>
      </c>
      <c r="R158" s="162" t="s">
        <v>1349</v>
      </c>
      <c r="S158" s="160" t="s">
        <v>1069</v>
      </c>
      <c r="T158" s="160" t="s">
        <v>1061</v>
      </c>
      <c r="U158" s="160" t="s">
        <v>801</v>
      </c>
      <c r="V158" s="160" t="s">
        <v>1057</v>
      </c>
    </row>
    <row r="159" spans="2:22" ht="11.25">
      <c r="B159" s="161" t="s">
        <v>1057</v>
      </c>
      <c r="C159" s="161" t="s">
        <v>1057</v>
      </c>
      <c r="D159" s="161">
        <v>3</v>
      </c>
      <c r="E159" s="161" t="s">
        <v>1057</v>
      </c>
      <c r="F159" s="161" t="s">
        <v>1057</v>
      </c>
      <c r="G159" s="161" t="s">
        <v>1057</v>
      </c>
      <c r="H159" s="161" t="s">
        <v>1057</v>
      </c>
      <c r="I159" s="161" t="s">
        <v>1057</v>
      </c>
      <c r="J159" s="161">
        <v>3</v>
      </c>
      <c r="K159" s="161">
        <v>3</v>
      </c>
      <c r="L159" s="160" t="s">
        <v>1057</v>
      </c>
      <c r="M159" s="160" t="s">
        <v>1351</v>
      </c>
      <c r="N159" s="160" t="s">
        <v>1179</v>
      </c>
      <c r="O159" s="160" t="s">
        <v>1352</v>
      </c>
      <c r="P159" s="160" t="s">
        <v>1059</v>
      </c>
      <c r="Q159" s="160" t="s">
        <v>799</v>
      </c>
      <c r="R159" s="162" t="s">
        <v>1152</v>
      </c>
      <c r="S159" s="160" t="str">
        <f>CONCATENATE(Data!E25," rnds [D]")</f>
        <v>1 rnds [D]</v>
      </c>
      <c r="T159" s="160" t="s">
        <v>1153</v>
      </c>
      <c r="U159" s="160" t="s">
        <v>1073</v>
      </c>
      <c r="V159" s="160" t="s">
        <v>1057</v>
      </c>
    </row>
    <row r="160" spans="2:22" ht="11.25">
      <c r="B160" s="161">
        <v>1</v>
      </c>
      <c r="C160" s="161">
        <v>1</v>
      </c>
      <c r="D160" s="161" t="s">
        <v>1057</v>
      </c>
      <c r="E160" s="161" t="s">
        <v>1057</v>
      </c>
      <c r="F160" s="161">
        <v>1</v>
      </c>
      <c r="G160" s="161">
        <v>1</v>
      </c>
      <c r="H160" s="161" t="s">
        <v>1057</v>
      </c>
      <c r="I160" s="161" t="s">
        <v>1057</v>
      </c>
      <c r="J160" s="161">
        <v>1</v>
      </c>
      <c r="K160" s="161">
        <v>1</v>
      </c>
      <c r="L160" s="160" t="s">
        <v>252</v>
      </c>
      <c r="M160" s="160" t="s">
        <v>819</v>
      </c>
      <c r="N160" s="160" t="s">
        <v>815</v>
      </c>
      <c r="O160" s="160" t="s">
        <v>1067</v>
      </c>
      <c r="P160" s="160" t="s">
        <v>1059</v>
      </c>
      <c r="Q160" s="160" t="s">
        <v>1228</v>
      </c>
      <c r="R160" s="162" t="s">
        <v>253</v>
      </c>
      <c r="S160" s="160" t="str">
        <f>CONCATENATE(Data!E25," min.")</f>
        <v>1 min.</v>
      </c>
      <c r="T160" s="160" t="s">
        <v>1061</v>
      </c>
      <c r="U160" s="160" t="s">
        <v>801</v>
      </c>
      <c r="V160" s="160" t="s">
        <v>1057</v>
      </c>
    </row>
    <row r="161" spans="2:22" ht="11.25">
      <c r="B161" s="161" t="s">
        <v>1057</v>
      </c>
      <c r="C161" s="161" t="s">
        <v>1057</v>
      </c>
      <c r="D161" s="161" t="s">
        <v>1057</v>
      </c>
      <c r="E161" s="161" t="s">
        <v>1057</v>
      </c>
      <c r="F161" s="161">
        <v>5</v>
      </c>
      <c r="G161" s="161" t="s">
        <v>1057</v>
      </c>
      <c r="H161" s="161" t="s">
        <v>1057</v>
      </c>
      <c r="I161" s="161" t="s">
        <v>1057</v>
      </c>
      <c r="J161" s="161" t="s">
        <v>1057</v>
      </c>
      <c r="K161" s="161" t="s">
        <v>1057</v>
      </c>
      <c r="L161" s="160" t="s">
        <v>1057</v>
      </c>
      <c r="M161" s="160" t="s">
        <v>1353</v>
      </c>
      <c r="N161" s="160" t="s">
        <v>811</v>
      </c>
      <c r="O161" s="160" t="s">
        <v>1067</v>
      </c>
      <c r="P161" s="160" t="s">
        <v>1059</v>
      </c>
      <c r="Q161" s="160" t="s">
        <v>799</v>
      </c>
      <c r="R161" s="162" t="s">
        <v>1354</v>
      </c>
      <c r="S161" s="160" t="str">
        <f>CONCATENATE(Data!E25," rnds")</f>
        <v>1 rnds</v>
      </c>
      <c r="T161" s="160" t="s">
        <v>1087</v>
      </c>
      <c r="U161" s="160" t="s">
        <v>1082</v>
      </c>
      <c r="V161" s="160" t="s">
        <v>1057</v>
      </c>
    </row>
    <row r="162" spans="2:22" ht="11.25">
      <c r="B162" s="161" t="s">
        <v>1057</v>
      </c>
      <c r="C162" s="161" t="s">
        <v>1057</v>
      </c>
      <c r="D162" s="161" t="s">
        <v>1057</v>
      </c>
      <c r="E162" s="161" t="s">
        <v>1057</v>
      </c>
      <c r="F162" s="161">
        <v>4</v>
      </c>
      <c r="G162" s="161" t="s">
        <v>1057</v>
      </c>
      <c r="H162" s="161" t="s">
        <v>1057</v>
      </c>
      <c r="I162" s="161" t="s">
        <v>1057</v>
      </c>
      <c r="J162" s="161" t="s">
        <v>1057</v>
      </c>
      <c r="K162" s="161" t="s">
        <v>1057</v>
      </c>
      <c r="L162" s="160" t="s">
        <v>1355</v>
      </c>
      <c r="M162" s="160" t="s">
        <v>920</v>
      </c>
      <c r="N162" s="160" t="s">
        <v>822</v>
      </c>
      <c r="O162" s="160" t="s">
        <v>1091</v>
      </c>
      <c r="P162" s="160" t="s">
        <v>1118</v>
      </c>
      <c r="Q162" s="160" t="s">
        <v>817</v>
      </c>
      <c r="R162" s="162" t="s">
        <v>1084</v>
      </c>
      <c r="S162" s="160" t="s">
        <v>1069</v>
      </c>
      <c r="T162" s="160" t="s">
        <v>1061</v>
      </c>
      <c r="U162" s="160" t="s">
        <v>801</v>
      </c>
      <c r="V162" s="160" t="s">
        <v>1122</v>
      </c>
    </row>
    <row r="163" spans="2:22" ht="11.25">
      <c r="B163" s="161" t="s">
        <v>1057</v>
      </c>
      <c r="C163" s="161" t="s">
        <v>1057</v>
      </c>
      <c r="D163" s="161" t="s">
        <v>1057</v>
      </c>
      <c r="E163" s="161" t="s">
        <v>1057</v>
      </c>
      <c r="F163" s="161">
        <v>1</v>
      </c>
      <c r="G163" s="161" t="s">
        <v>1057</v>
      </c>
      <c r="H163" s="161" t="s">
        <v>1057</v>
      </c>
      <c r="I163" s="161" t="s">
        <v>1057</v>
      </c>
      <c r="J163" s="161" t="s">
        <v>1057</v>
      </c>
      <c r="K163" s="161" t="s">
        <v>1057</v>
      </c>
      <c r="L163" s="160" t="s">
        <v>1057</v>
      </c>
      <c r="M163" s="160" t="s">
        <v>44</v>
      </c>
      <c r="N163" s="160" t="s">
        <v>845</v>
      </c>
      <c r="O163" s="160" t="s">
        <v>1071</v>
      </c>
      <c r="P163" s="160" t="s">
        <v>1059</v>
      </c>
      <c r="Q163" s="160" t="s">
        <v>799</v>
      </c>
      <c r="R163" s="162" t="str">
        <f>CONCATENATE("Targets: ",Data!E25," touched creatures")</f>
        <v>Targets: 1 touched creatures</v>
      </c>
      <c r="S163" s="160" t="str">
        <f>CONCATENATE(Data!E25*10," min. [D]")</f>
        <v>10 min. [D]</v>
      </c>
      <c r="T163" s="160" t="s">
        <v>1087</v>
      </c>
      <c r="U163" s="160" t="s">
        <v>805</v>
      </c>
      <c r="V163" s="160" t="s">
        <v>1057</v>
      </c>
    </row>
    <row r="164" spans="2:22" ht="11.25">
      <c r="B164" s="161" t="s">
        <v>1057</v>
      </c>
      <c r="C164" s="161" t="s">
        <v>1057</v>
      </c>
      <c r="D164" s="161" t="s">
        <v>1057</v>
      </c>
      <c r="E164" s="161" t="s">
        <v>1057</v>
      </c>
      <c r="F164" s="161">
        <v>4</v>
      </c>
      <c r="G164" s="161" t="s">
        <v>1057</v>
      </c>
      <c r="H164" s="161" t="s">
        <v>1057</v>
      </c>
      <c r="I164" s="161" t="s">
        <v>1057</v>
      </c>
      <c r="J164" s="161" t="s">
        <v>1057</v>
      </c>
      <c r="K164" s="161" t="s">
        <v>1057</v>
      </c>
      <c r="L164" s="160" t="s">
        <v>1356</v>
      </c>
      <c r="M164" s="160" t="s">
        <v>921</v>
      </c>
      <c r="N164" s="160" t="s">
        <v>1162</v>
      </c>
      <c r="O164" s="160" t="s">
        <v>1071</v>
      </c>
      <c r="P164" s="160" t="s">
        <v>1059</v>
      </c>
      <c r="Q164" s="160" t="s">
        <v>817</v>
      </c>
      <c r="R164" s="162" t="s">
        <v>1084</v>
      </c>
      <c r="S164" s="160" t="str">
        <f>CONCATENATE(Data!E25," rnds")</f>
        <v>1 rnds</v>
      </c>
      <c r="T164" s="160" t="s">
        <v>1061</v>
      </c>
      <c r="U164" s="160" t="s">
        <v>801</v>
      </c>
      <c r="V164" s="160" t="s">
        <v>1057</v>
      </c>
    </row>
    <row r="165" spans="2:22" ht="11.25">
      <c r="B165" s="161" t="s">
        <v>1057</v>
      </c>
      <c r="C165" s="161" t="s">
        <v>1057</v>
      </c>
      <c r="D165" s="161" t="s">
        <v>1057</v>
      </c>
      <c r="E165" s="161" t="s">
        <v>1057</v>
      </c>
      <c r="F165" s="161" t="s">
        <v>1057</v>
      </c>
      <c r="G165" s="161">
        <v>3</v>
      </c>
      <c r="H165" s="161" t="s">
        <v>1057</v>
      </c>
      <c r="I165" s="161" t="s">
        <v>1057</v>
      </c>
      <c r="J165" s="161" t="s">
        <v>1057</v>
      </c>
      <c r="K165" s="161" t="s">
        <v>1057</v>
      </c>
      <c r="L165" s="160" t="s">
        <v>1358</v>
      </c>
      <c r="M165" s="160" t="s">
        <v>1357</v>
      </c>
      <c r="N165" s="160" t="s">
        <v>804</v>
      </c>
      <c r="O165" s="160" t="s">
        <v>1067</v>
      </c>
      <c r="P165" s="160" t="s">
        <v>1108</v>
      </c>
      <c r="Q165" s="160" t="str">
        <f>CONCATENATE(25+(FLOOR(Data!E25/2,1)*5)," ft.")</f>
        <v>25 ft.</v>
      </c>
      <c r="R165" s="162" t="s">
        <v>1209</v>
      </c>
      <c r="S165" s="160" t="str">
        <f>CONCATENATE(Data!E25," rnds")</f>
        <v>1 rnds</v>
      </c>
      <c r="T165" s="160" t="s">
        <v>1141</v>
      </c>
      <c r="U165" s="160" t="s">
        <v>805</v>
      </c>
      <c r="V165" s="160" t="s">
        <v>1057</v>
      </c>
    </row>
    <row r="166" spans="2:22" ht="11.25">
      <c r="B166" s="161" t="s">
        <v>1057</v>
      </c>
      <c r="C166" s="161" t="s">
        <v>1057</v>
      </c>
      <c r="D166" s="161" t="s">
        <v>1057</v>
      </c>
      <c r="E166" s="161" t="s">
        <v>1057</v>
      </c>
      <c r="F166" s="161" t="s">
        <v>1057</v>
      </c>
      <c r="G166" s="161" t="s">
        <v>1057</v>
      </c>
      <c r="H166" s="161" t="s">
        <v>1057</v>
      </c>
      <c r="I166" s="161" t="s">
        <v>1057</v>
      </c>
      <c r="J166" s="161">
        <v>9</v>
      </c>
      <c r="K166" s="161">
        <v>9</v>
      </c>
      <c r="L166" s="160" t="s">
        <v>1057</v>
      </c>
      <c r="M166" s="160" t="s">
        <v>1359</v>
      </c>
      <c r="N166" s="160" t="s">
        <v>804</v>
      </c>
      <c r="O166" s="160" t="s">
        <v>1067</v>
      </c>
      <c r="P166" s="160" t="s">
        <v>1108</v>
      </c>
      <c r="Q166" s="160" t="str">
        <f>CONCATENATE(25+(FLOOR(Data!E25/2,1)*5)," ft.")</f>
        <v>25 ft.</v>
      </c>
      <c r="R166" s="162" t="s">
        <v>1144</v>
      </c>
      <c r="S166" s="160" t="str">
        <f>CONCATENATE(Data!E25," days")</f>
        <v>1 days</v>
      </c>
      <c r="T166" s="160" t="s">
        <v>1141</v>
      </c>
      <c r="U166" s="160" t="s">
        <v>805</v>
      </c>
      <c r="V166" s="160" t="s">
        <v>1057</v>
      </c>
    </row>
    <row r="167" spans="2:22" ht="11.25">
      <c r="B167" s="161" t="s">
        <v>1057</v>
      </c>
      <c r="C167" s="161" t="s">
        <v>1057</v>
      </c>
      <c r="D167" s="161">
        <v>4</v>
      </c>
      <c r="E167" s="161" t="s">
        <v>1057</v>
      </c>
      <c r="F167" s="161" t="s">
        <v>1057</v>
      </c>
      <c r="G167" s="161" t="s">
        <v>1057</v>
      </c>
      <c r="H167" s="161" t="s">
        <v>1057</v>
      </c>
      <c r="I167" s="161" t="s">
        <v>1057</v>
      </c>
      <c r="J167" s="161">
        <v>5</v>
      </c>
      <c r="K167" s="161">
        <v>5</v>
      </c>
      <c r="L167" s="160" t="s">
        <v>1057</v>
      </c>
      <c r="M167" s="160" t="s">
        <v>1360</v>
      </c>
      <c r="N167" s="160" t="s">
        <v>804</v>
      </c>
      <c r="O167" s="160" t="s">
        <v>1067</v>
      </c>
      <c r="P167" s="160" t="s">
        <v>1108</v>
      </c>
      <c r="Q167" s="160" t="str">
        <f>CONCATENATE(25+(FLOOR(Data!E25/2,1)*5)," ft.")</f>
        <v>25 ft.</v>
      </c>
      <c r="R167" s="162" t="s">
        <v>1361</v>
      </c>
      <c r="S167" s="160" t="str">
        <f>CONCATENATE(Data!E25," days")</f>
        <v>1 days</v>
      </c>
      <c r="T167" s="160" t="s">
        <v>1141</v>
      </c>
      <c r="U167" s="160" t="s">
        <v>805</v>
      </c>
      <c r="V167" s="160" t="s">
        <v>1057</v>
      </c>
    </row>
    <row r="168" spans="2:22" ht="11.25">
      <c r="B168" s="161" t="s">
        <v>1057</v>
      </c>
      <c r="C168" s="161" t="s">
        <v>1057</v>
      </c>
      <c r="D168" s="161" t="s">
        <v>1057</v>
      </c>
      <c r="E168" s="161">
        <v>1</v>
      </c>
      <c r="F168" s="161">
        <v>1</v>
      </c>
      <c r="G168" s="161" t="s">
        <v>1057</v>
      </c>
      <c r="H168" s="161" t="s">
        <v>1057</v>
      </c>
      <c r="I168" s="161" t="s">
        <v>1057</v>
      </c>
      <c r="J168" s="161" t="s">
        <v>1057</v>
      </c>
      <c r="K168" s="161" t="s">
        <v>1057</v>
      </c>
      <c r="L168" s="160" t="s">
        <v>97</v>
      </c>
      <c r="M168" s="160" t="s">
        <v>846</v>
      </c>
      <c r="N168" s="160" t="s">
        <v>826</v>
      </c>
      <c r="O168" s="160" t="s">
        <v>1067</v>
      </c>
      <c r="P168" s="160" t="s">
        <v>1059</v>
      </c>
      <c r="Q168" s="160" t="s">
        <v>799</v>
      </c>
      <c r="R168" s="162" t="s">
        <v>1152</v>
      </c>
      <c r="S168" s="160" t="s">
        <v>1069</v>
      </c>
      <c r="T168" s="160" t="s">
        <v>95</v>
      </c>
      <c r="U168" s="160" t="s">
        <v>805</v>
      </c>
      <c r="V168" s="160" t="s">
        <v>1057</v>
      </c>
    </row>
    <row r="169" spans="2:22" ht="11.25">
      <c r="B169" s="161" t="s">
        <v>1057</v>
      </c>
      <c r="C169" s="161" t="s">
        <v>1057</v>
      </c>
      <c r="D169" s="161">
        <v>5</v>
      </c>
      <c r="E169" s="161" t="s">
        <v>1057</v>
      </c>
      <c r="F169" s="161" t="s">
        <v>1057</v>
      </c>
      <c r="G169" s="161" t="s">
        <v>1057</v>
      </c>
      <c r="H169" s="161" t="s">
        <v>1057</v>
      </c>
      <c r="I169" s="161" t="s">
        <v>1057</v>
      </c>
      <c r="J169" s="161">
        <v>5</v>
      </c>
      <c r="K169" s="161">
        <v>5</v>
      </c>
      <c r="L169" s="160" t="s">
        <v>1057</v>
      </c>
      <c r="M169" s="160" t="s">
        <v>1362</v>
      </c>
      <c r="N169" s="160" t="s">
        <v>1179</v>
      </c>
      <c r="O169" s="160" t="s">
        <v>1067</v>
      </c>
      <c r="P169" s="160" t="s">
        <v>1135</v>
      </c>
      <c r="Q169" s="160" t="s">
        <v>1119</v>
      </c>
      <c r="R169" s="162" t="s">
        <v>1363</v>
      </c>
      <c r="S169" s="160" t="s">
        <v>1087</v>
      </c>
      <c r="T169" s="160" t="s">
        <v>1061</v>
      </c>
      <c r="U169" s="160" t="s">
        <v>805</v>
      </c>
      <c r="V169" s="160" t="s">
        <v>1057</v>
      </c>
    </row>
    <row r="170" spans="2:22" ht="11.25">
      <c r="B170" s="161" t="s">
        <v>1057</v>
      </c>
      <c r="C170" s="161" t="s">
        <v>1057</v>
      </c>
      <c r="D170" s="161" t="s">
        <v>1057</v>
      </c>
      <c r="E170" s="161" t="s">
        <v>1057</v>
      </c>
      <c r="F170" s="161">
        <v>1</v>
      </c>
      <c r="G170" s="161">
        <v>1</v>
      </c>
      <c r="H170" s="161" t="s">
        <v>1057</v>
      </c>
      <c r="I170" s="161" t="s">
        <v>1057</v>
      </c>
      <c r="J170" s="161" t="s">
        <v>1057</v>
      </c>
      <c r="K170" s="161" t="s">
        <v>1057</v>
      </c>
      <c r="L170" s="160" t="s">
        <v>171</v>
      </c>
      <c r="M170" s="160" t="s">
        <v>847</v>
      </c>
      <c r="N170" s="160" t="s">
        <v>811</v>
      </c>
      <c r="O170" s="160" t="s">
        <v>1071</v>
      </c>
      <c r="P170" s="160" t="s">
        <v>1059</v>
      </c>
      <c r="Q170" s="160" t="s">
        <v>799</v>
      </c>
      <c r="R170" s="162" t="s">
        <v>172</v>
      </c>
      <c r="S170" s="160" t="s">
        <v>173</v>
      </c>
      <c r="T170" s="160" t="s">
        <v>1081</v>
      </c>
      <c r="U170" s="160" t="s">
        <v>1082</v>
      </c>
      <c r="V170" s="160" t="s">
        <v>1057</v>
      </c>
    </row>
    <row r="171" spans="2:22" ht="11.25">
      <c r="B171" s="161" t="s">
        <v>1057</v>
      </c>
      <c r="C171" s="161" t="s">
        <v>1057</v>
      </c>
      <c r="D171" s="161">
        <v>6</v>
      </c>
      <c r="E171" s="161" t="s">
        <v>1057</v>
      </c>
      <c r="F171" s="161">
        <v>6</v>
      </c>
      <c r="G171" s="161" t="s">
        <v>1057</v>
      </c>
      <c r="H171" s="161" t="s">
        <v>1057</v>
      </c>
      <c r="I171" s="161" t="s">
        <v>1057</v>
      </c>
      <c r="J171" s="161">
        <v>6</v>
      </c>
      <c r="K171" s="161">
        <v>6</v>
      </c>
      <c r="L171" s="160" t="s">
        <v>1057</v>
      </c>
      <c r="M171" s="160" t="s">
        <v>1365</v>
      </c>
      <c r="N171" s="160" t="s">
        <v>811</v>
      </c>
      <c r="O171" s="160" t="s">
        <v>1064</v>
      </c>
      <c r="P171" s="160" t="s">
        <v>1059</v>
      </c>
      <c r="Q171" s="160" t="str">
        <f>CONCATENATE(25+(FLOOR(Data!E25/2,1)*5)," ft.")</f>
        <v>25 ft.</v>
      </c>
      <c r="R171" s="162" t="str">
        <f>CONCATENATE("Target: ",Data!E25," creatures within 30 ft. of each other")</f>
        <v>Target: 1 creatures within 30 ft. of each other</v>
      </c>
      <c r="S171" s="160" t="str">
        <f>CONCATENATE(Data!E25," min.")</f>
        <v>1 min.</v>
      </c>
      <c r="T171" s="160" t="s">
        <v>1153</v>
      </c>
      <c r="U171" s="160" t="s">
        <v>805</v>
      </c>
      <c r="V171" s="160" t="s">
        <v>1057</v>
      </c>
    </row>
    <row r="172" spans="2:22" ht="11.25">
      <c r="B172" s="161" t="s">
        <v>1057</v>
      </c>
      <c r="C172" s="161" t="s">
        <v>1057</v>
      </c>
      <c r="D172" s="161" t="s">
        <v>1057</v>
      </c>
      <c r="E172" s="161" t="s">
        <v>1057</v>
      </c>
      <c r="F172" s="161">
        <v>8</v>
      </c>
      <c r="G172" s="161">
        <v>8</v>
      </c>
      <c r="H172" s="161" t="s">
        <v>1057</v>
      </c>
      <c r="I172" s="161" t="s">
        <v>1057</v>
      </c>
      <c r="J172" s="161" t="s">
        <v>1057</v>
      </c>
      <c r="K172" s="161" t="s">
        <v>1057</v>
      </c>
      <c r="L172" s="160" t="s">
        <v>1367</v>
      </c>
      <c r="M172" s="160" t="s">
        <v>1366</v>
      </c>
      <c r="N172" s="160" t="s">
        <v>1162</v>
      </c>
      <c r="O172" s="160" t="s">
        <v>1071</v>
      </c>
      <c r="P172" s="160" t="s">
        <v>1059</v>
      </c>
      <c r="Q172" s="160" t="str">
        <f>CONCATENATE(400+(40*Data!E25)," ft.")</f>
        <v>440 ft.</v>
      </c>
      <c r="R172" s="162" t="s">
        <v>1368</v>
      </c>
      <c r="S172" s="160" t="s">
        <v>1108</v>
      </c>
      <c r="T172" s="160" t="s">
        <v>1087</v>
      </c>
      <c r="U172" s="160" t="s">
        <v>801</v>
      </c>
      <c r="V172" s="160" t="s">
        <v>1057</v>
      </c>
    </row>
    <row r="173" spans="2:22" ht="11.25">
      <c r="B173" s="161" t="s">
        <v>1057</v>
      </c>
      <c r="C173" s="161" t="s">
        <v>1057</v>
      </c>
      <c r="D173" s="161" t="s">
        <v>1057</v>
      </c>
      <c r="E173" s="161" t="s">
        <v>1057</v>
      </c>
      <c r="F173" s="161" t="s">
        <v>1057</v>
      </c>
      <c r="G173" s="161">
        <v>9</v>
      </c>
      <c r="H173" s="161" t="s">
        <v>1057</v>
      </c>
      <c r="I173" s="161" t="s">
        <v>1057</v>
      </c>
      <c r="J173" s="161" t="s">
        <v>1057</v>
      </c>
      <c r="K173" s="161" t="s">
        <v>1057</v>
      </c>
      <c r="L173" s="160" t="s">
        <v>1370</v>
      </c>
      <c r="M173" s="160" t="s">
        <v>1369</v>
      </c>
      <c r="N173" s="160" t="s">
        <v>815</v>
      </c>
      <c r="O173" s="160" t="s">
        <v>1067</v>
      </c>
      <c r="P173" s="160" t="s">
        <v>1118</v>
      </c>
      <c r="Q173" s="160" t="str">
        <f>CONCATENATE(100+(10*Data!E25)," ft.")</f>
        <v>110 ft.</v>
      </c>
      <c r="R173" s="162" t="s">
        <v>1371</v>
      </c>
      <c r="S173" s="160" t="str">
        <f>CONCATENATE(Data!E25*10," min. [D]")</f>
        <v>10 min. [D]</v>
      </c>
      <c r="T173" s="160" t="s">
        <v>1061</v>
      </c>
      <c r="U173" s="160" t="s">
        <v>801</v>
      </c>
      <c r="V173" s="160" t="s">
        <v>1057</v>
      </c>
    </row>
    <row r="174" spans="2:22" ht="11.25">
      <c r="B174" s="161">
        <v>1</v>
      </c>
      <c r="C174" s="161" t="s">
        <v>1057</v>
      </c>
      <c r="D174" s="161" t="s">
        <v>1057</v>
      </c>
      <c r="E174" s="161" t="s">
        <v>1057</v>
      </c>
      <c r="F174" s="161">
        <v>1</v>
      </c>
      <c r="G174" s="161" t="s">
        <v>1057</v>
      </c>
      <c r="H174" s="161">
        <v>1</v>
      </c>
      <c r="I174" s="161" t="s">
        <v>1057</v>
      </c>
      <c r="J174" s="161">
        <v>1</v>
      </c>
      <c r="K174" s="161">
        <v>1</v>
      </c>
      <c r="L174" s="160" t="s">
        <v>318</v>
      </c>
      <c r="M174" s="160" t="s">
        <v>317</v>
      </c>
      <c r="N174" s="160" t="s">
        <v>845</v>
      </c>
      <c r="O174" s="160" t="s">
        <v>1064</v>
      </c>
      <c r="P174" s="160" t="s">
        <v>1059</v>
      </c>
      <c r="Q174" s="160" t="s">
        <v>799</v>
      </c>
      <c r="R174" s="162" t="s">
        <v>1152</v>
      </c>
      <c r="S174" s="160" t="str">
        <f>CONCATENATE(Data!E25," min. [D]")</f>
        <v>1 min. [D]</v>
      </c>
      <c r="T174" s="160" t="s">
        <v>1153</v>
      </c>
      <c r="U174" s="160" t="s">
        <v>1087</v>
      </c>
      <c r="V174" s="160" t="s">
        <v>1057</v>
      </c>
    </row>
    <row r="175" spans="2:22" ht="11.25">
      <c r="B175" s="161" t="s">
        <v>1057</v>
      </c>
      <c r="C175" s="161" t="s">
        <v>1057</v>
      </c>
      <c r="D175" s="161" t="s">
        <v>1057</v>
      </c>
      <c r="E175" s="161" t="s">
        <v>1057</v>
      </c>
      <c r="F175" s="161">
        <v>9</v>
      </c>
      <c r="G175" s="161" t="s">
        <v>1057</v>
      </c>
      <c r="H175" s="161" t="s">
        <v>1057</v>
      </c>
      <c r="I175" s="161" t="s">
        <v>1057</v>
      </c>
      <c r="J175" s="161">
        <v>9</v>
      </c>
      <c r="K175" s="161">
        <v>9</v>
      </c>
      <c r="L175" s="160" t="s">
        <v>1057</v>
      </c>
      <c r="M175" s="160" t="s">
        <v>1373</v>
      </c>
      <c r="N175" s="160" t="s">
        <v>826</v>
      </c>
      <c r="O175" s="160" t="s">
        <v>1067</v>
      </c>
      <c r="P175" s="160" t="s">
        <v>1059</v>
      </c>
      <c r="Q175" s="160" t="str">
        <f>CONCATENATE(25+(FLOOR(Data!E25/2,1)*5)," ft.")</f>
        <v>25 ft.</v>
      </c>
      <c r="R175" s="162" t="s">
        <v>1374</v>
      </c>
      <c r="S175" s="160" t="s">
        <v>1069</v>
      </c>
      <c r="T175" s="160" t="s">
        <v>1087</v>
      </c>
      <c r="U175" s="160" t="s">
        <v>805</v>
      </c>
      <c r="V175" s="160" t="s">
        <v>1057</v>
      </c>
    </row>
    <row r="176" spans="2:22" ht="11.25">
      <c r="B176" s="161" t="s">
        <v>1057</v>
      </c>
      <c r="C176" s="161" t="s">
        <v>1057</v>
      </c>
      <c r="D176" s="161" t="s">
        <v>1057</v>
      </c>
      <c r="E176" s="161" t="s">
        <v>1057</v>
      </c>
      <c r="F176" s="161" t="s">
        <v>1057</v>
      </c>
      <c r="G176" s="161" t="s">
        <v>1057</v>
      </c>
      <c r="H176" s="161" t="s">
        <v>1057</v>
      </c>
      <c r="I176" s="161" t="s">
        <v>1057</v>
      </c>
      <c r="J176" s="161">
        <v>4</v>
      </c>
      <c r="K176" s="161">
        <v>4</v>
      </c>
      <c r="L176" s="160" t="s">
        <v>1057</v>
      </c>
      <c r="M176" s="160" t="s">
        <v>1375</v>
      </c>
      <c r="N176" s="160" t="s">
        <v>826</v>
      </c>
      <c r="O176" s="160" t="s">
        <v>1067</v>
      </c>
      <c r="P176" s="160" t="s">
        <v>1059</v>
      </c>
      <c r="Q176" s="160" t="str">
        <f>CONCATENATE(25+(FLOOR(Data!E25/2,1)*5)," ft.")</f>
        <v>25 ft.</v>
      </c>
      <c r="R176" s="162" t="s">
        <v>1374</v>
      </c>
      <c r="S176" s="160" t="s">
        <v>1069</v>
      </c>
      <c r="T176" s="160" t="s">
        <v>1061</v>
      </c>
      <c r="U176" s="160" t="s">
        <v>805</v>
      </c>
      <c r="V176" s="160" t="s">
        <v>1057</v>
      </c>
    </row>
    <row r="177" spans="2:22" ht="11.25">
      <c r="B177" s="161" t="s">
        <v>1057</v>
      </c>
      <c r="C177" s="161" t="s">
        <v>1057</v>
      </c>
      <c r="D177" s="161">
        <v>1</v>
      </c>
      <c r="E177" s="161" t="s">
        <v>1057</v>
      </c>
      <c r="F177" s="161" t="s">
        <v>1057</v>
      </c>
      <c r="G177" s="161" t="s">
        <v>1057</v>
      </c>
      <c r="H177" s="161" t="s">
        <v>1057</v>
      </c>
      <c r="I177" s="161" t="s">
        <v>1057</v>
      </c>
      <c r="J177" s="161">
        <v>1</v>
      </c>
      <c r="K177" s="161">
        <v>1</v>
      </c>
      <c r="L177" s="160" t="s">
        <v>1057</v>
      </c>
      <c r="M177" s="160" t="s">
        <v>1384</v>
      </c>
      <c r="N177" s="160" t="s">
        <v>811</v>
      </c>
      <c r="O177" s="160" t="s">
        <v>1067</v>
      </c>
      <c r="P177" s="160" t="s">
        <v>1059</v>
      </c>
      <c r="Q177" s="160" t="str">
        <f>CONCATENATE(25+(FLOOR(Data!E25/2,1)*5)," ft.")</f>
        <v>25 ft.</v>
      </c>
      <c r="R177" s="162" t="s">
        <v>1385</v>
      </c>
      <c r="S177" s="160" t="s">
        <v>1069</v>
      </c>
      <c r="T177" s="160" t="s">
        <v>1087</v>
      </c>
      <c r="U177" s="160" t="s">
        <v>801</v>
      </c>
      <c r="V177" s="160" t="s">
        <v>1057</v>
      </c>
    </row>
    <row r="178" spans="2:22" ht="11.25">
      <c r="B178" s="161" t="s">
        <v>1057</v>
      </c>
      <c r="C178" s="161" t="s">
        <v>1057</v>
      </c>
      <c r="D178" s="161" t="s">
        <v>1057</v>
      </c>
      <c r="E178" s="161" t="s">
        <v>1057</v>
      </c>
      <c r="F178" s="161" t="s">
        <v>1057</v>
      </c>
      <c r="G178" s="161" t="s">
        <v>1057</v>
      </c>
      <c r="H178" s="161" t="s">
        <v>1057</v>
      </c>
      <c r="I178" s="161" t="s">
        <v>1057</v>
      </c>
      <c r="J178" s="161">
        <v>4</v>
      </c>
      <c r="K178" s="161">
        <v>4</v>
      </c>
      <c r="L178" s="160" t="s">
        <v>1057</v>
      </c>
      <c r="M178" s="160" t="s">
        <v>1378</v>
      </c>
      <c r="N178" s="160" t="s">
        <v>811</v>
      </c>
      <c r="O178" s="160" t="s">
        <v>1091</v>
      </c>
      <c r="P178" s="160" t="s">
        <v>1108</v>
      </c>
      <c r="Q178" s="160" t="str">
        <f>CONCATENATE(25+(FLOOR(Data!E25/2,1)*5)," ft.")</f>
        <v>25 ft.</v>
      </c>
      <c r="R178" s="162" t="str">
        <f>CONCATENATE("Target: ",Data!E25," humanoid creatures within 30 ft. of each other")</f>
        <v>Target: 1 humanoid creatures within 30 ft. of each other</v>
      </c>
      <c r="S178" s="160" t="str">
        <f>CONCATENATE(Data!E25," min. [D]")</f>
        <v>1 min. [D]</v>
      </c>
      <c r="T178" s="160" t="s">
        <v>1090</v>
      </c>
      <c r="U178" s="160" t="s">
        <v>805</v>
      </c>
      <c r="V178" s="160" t="s">
        <v>1057</v>
      </c>
    </row>
    <row r="179" spans="2:22" ht="11.25">
      <c r="B179" s="161" t="s">
        <v>1057</v>
      </c>
      <c r="C179" s="161" t="s">
        <v>1057</v>
      </c>
      <c r="D179" s="161" t="s">
        <v>1057</v>
      </c>
      <c r="E179" s="161" t="s">
        <v>1057</v>
      </c>
      <c r="F179" s="161" t="s">
        <v>1057</v>
      </c>
      <c r="G179" s="161">
        <v>1</v>
      </c>
      <c r="H179" s="161" t="s">
        <v>1057</v>
      </c>
      <c r="I179" s="161">
        <v>1</v>
      </c>
      <c r="J179" s="161" t="s">
        <v>1057</v>
      </c>
      <c r="K179" s="161" t="s">
        <v>1057</v>
      </c>
      <c r="L179" s="160" t="s">
        <v>1380</v>
      </c>
      <c r="M179" s="160" t="s">
        <v>1379</v>
      </c>
      <c r="N179" s="160" t="s">
        <v>811</v>
      </c>
      <c r="O179" s="160" t="s">
        <v>1071</v>
      </c>
      <c r="P179" s="160" t="s">
        <v>1059</v>
      </c>
      <c r="Q179" s="160" t="str">
        <f>CONCATENATE(400+(40*Data!E25)," ft.")</f>
        <v>440 ft.</v>
      </c>
      <c r="R179" s="162" t="s">
        <v>1381</v>
      </c>
      <c r="S179" s="160" t="str">
        <f>CONCATENATE(Data!E25," min. [D]")</f>
        <v>1 min. [D]</v>
      </c>
      <c r="T179" s="160" t="s">
        <v>1087</v>
      </c>
      <c r="U179" s="160" t="s">
        <v>801</v>
      </c>
      <c r="V179" s="160" t="s">
        <v>1057</v>
      </c>
    </row>
    <row r="180" spans="2:22" ht="11.25">
      <c r="B180" s="161" t="s">
        <v>1057</v>
      </c>
      <c r="C180" s="161" t="s">
        <v>1057</v>
      </c>
      <c r="D180" s="161">
        <v>1</v>
      </c>
      <c r="E180" s="161" t="s">
        <v>1057</v>
      </c>
      <c r="F180" s="161" t="s">
        <v>1057</v>
      </c>
      <c r="G180" s="161" t="s">
        <v>1057</v>
      </c>
      <c r="H180" s="161" t="s">
        <v>1057</v>
      </c>
      <c r="I180" s="161" t="s">
        <v>1057</v>
      </c>
      <c r="J180" s="161">
        <v>1</v>
      </c>
      <c r="K180" s="161">
        <v>1</v>
      </c>
      <c r="L180" s="160" t="s">
        <v>1057</v>
      </c>
      <c r="M180" s="160" t="s">
        <v>1388</v>
      </c>
      <c r="N180" s="160" t="s">
        <v>811</v>
      </c>
      <c r="O180" s="160" t="s">
        <v>1067</v>
      </c>
      <c r="P180" s="160" t="s">
        <v>1059</v>
      </c>
      <c r="Q180" s="160" t="s">
        <v>817</v>
      </c>
      <c r="R180" s="162" t="s">
        <v>1084</v>
      </c>
      <c r="S180" s="160" t="str">
        <f>CONCATENATE(Data!E25," min. [D]")</f>
        <v>1 min. [D]</v>
      </c>
      <c r="T180" s="160" t="s">
        <v>1061</v>
      </c>
      <c r="U180" s="160" t="s">
        <v>801</v>
      </c>
      <c r="V180" s="160" t="s">
        <v>1057</v>
      </c>
    </row>
    <row r="181" spans="2:22" ht="11.25">
      <c r="B181" s="161" t="s">
        <v>1057</v>
      </c>
      <c r="C181" s="161">
        <v>1</v>
      </c>
      <c r="D181" s="161">
        <v>1</v>
      </c>
      <c r="E181" s="161" t="s">
        <v>1057</v>
      </c>
      <c r="F181" s="161" t="s">
        <v>1057</v>
      </c>
      <c r="G181" s="161" t="s">
        <v>1057</v>
      </c>
      <c r="H181" s="161" t="s">
        <v>1057</v>
      </c>
      <c r="I181" s="161" t="s">
        <v>1057</v>
      </c>
      <c r="J181" s="161">
        <v>1</v>
      </c>
      <c r="K181" s="161">
        <v>1</v>
      </c>
      <c r="L181" s="160" t="s">
        <v>1057</v>
      </c>
      <c r="M181" s="160" t="s">
        <v>1402</v>
      </c>
      <c r="N181" s="160" t="s">
        <v>811</v>
      </c>
      <c r="O181" s="160" t="s">
        <v>1104</v>
      </c>
      <c r="P181" s="160" t="s">
        <v>1403</v>
      </c>
      <c r="Q181" s="160" t="str">
        <f>CONCATENATE(25+(FLOOR(Data!E25/2,1)*5)," ft.")</f>
        <v>25 ft.</v>
      </c>
      <c r="R181" s="162" t="str">
        <f>CONCATENATE("Targets: ",Data!E25," Medium or smaller freefalling objects or creatures within 20 ft. of each other")</f>
        <v>Targets: 1 Medium or smaller freefalling objects or creatures within 20 ft. of each other</v>
      </c>
      <c r="S181" s="160" t="str">
        <f>CONCATENATE("Until landing or ",Data!E25," rnds")</f>
        <v>Until landing or 1 rnds</v>
      </c>
      <c r="T181" s="160" t="s">
        <v>1081</v>
      </c>
      <c r="U181" s="160" t="s">
        <v>1170</v>
      </c>
      <c r="V181" s="160" t="s">
        <v>1057</v>
      </c>
    </row>
    <row r="182" spans="2:22" ht="11.25">
      <c r="B182" s="161">
        <v>1</v>
      </c>
      <c r="C182" s="161" t="s">
        <v>1057</v>
      </c>
      <c r="D182" s="161" t="s">
        <v>1057</v>
      </c>
      <c r="E182" s="161" t="s">
        <v>1057</v>
      </c>
      <c r="F182" s="161">
        <v>1</v>
      </c>
      <c r="G182" s="161" t="s">
        <v>1057</v>
      </c>
      <c r="H182" s="161">
        <v>1</v>
      </c>
      <c r="I182" s="161" t="s">
        <v>1057</v>
      </c>
      <c r="J182" s="161">
        <v>1</v>
      </c>
      <c r="K182" s="161">
        <v>1</v>
      </c>
      <c r="L182" s="160" t="s">
        <v>322</v>
      </c>
      <c r="M182" s="160" t="s">
        <v>321</v>
      </c>
      <c r="N182" s="160" t="s">
        <v>845</v>
      </c>
      <c r="O182" s="160" t="s">
        <v>1064</v>
      </c>
      <c r="P182" s="160" t="s">
        <v>1059</v>
      </c>
      <c r="Q182" s="160" t="s">
        <v>799</v>
      </c>
      <c r="R182" s="162" t="s">
        <v>1152</v>
      </c>
      <c r="S182" s="160" t="str">
        <f>CONCATENATE(Data!E25," min. [D]")</f>
        <v>1 min. [D]</v>
      </c>
      <c r="T182" s="160" t="s">
        <v>1153</v>
      </c>
      <c r="U182" s="160" t="s">
        <v>1087</v>
      </c>
      <c r="V182" s="160" t="s">
        <v>1057</v>
      </c>
    </row>
    <row r="183" spans="2:22" ht="11.25">
      <c r="B183" s="161" t="s">
        <v>1057</v>
      </c>
      <c r="C183" s="161" t="s">
        <v>1057</v>
      </c>
      <c r="D183" s="161" t="s">
        <v>1057</v>
      </c>
      <c r="E183" s="161" t="s">
        <v>1057</v>
      </c>
      <c r="F183" s="161">
        <v>7</v>
      </c>
      <c r="G183" s="161" t="s">
        <v>1057</v>
      </c>
      <c r="H183" s="161" t="s">
        <v>1057</v>
      </c>
      <c r="I183" s="161" t="s">
        <v>1057</v>
      </c>
      <c r="J183" s="161">
        <v>7</v>
      </c>
      <c r="K183" s="161">
        <v>7</v>
      </c>
      <c r="L183" s="160" t="s">
        <v>1057</v>
      </c>
      <c r="M183" s="160" t="s">
        <v>1386</v>
      </c>
      <c r="N183" s="160" t="s">
        <v>811</v>
      </c>
      <c r="O183" s="160" t="s">
        <v>1067</v>
      </c>
      <c r="P183" s="160" t="s">
        <v>1059</v>
      </c>
      <c r="Q183" s="160" t="s">
        <v>817</v>
      </c>
      <c r="R183" s="162" t="s">
        <v>1084</v>
      </c>
      <c r="S183" s="160" t="str">
        <f>CONCATENATE(Data!E25," rnds [D]")</f>
        <v>1 rnds [D]</v>
      </c>
      <c r="T183" s="160" t="s">
        <v>1061</v>
      </c>
      <c r="U183" s="160" t="s">
        <v>801</v>
      </c>
      <c r="V183" s="160" t="s">
        <v>1057</v>
      </c>
    </row>
    <row r="184" spans="2:22" ht="11.25">
      <c r="B184" s="161" t="s">
        <v>1057</v>
      </c>
      <c r="C184" s="161" t="s">
        <v>1057</v>
      </c>
      <c r="D184" s="161" t="s">
        <v>1057</v>
      </c>
      <c r="E184" s="161" t="s">
        <v>1057</v>
      </c>
      <c r="F184" s="161">
        <v>9</v>
      </c>
      <c r="G184" s="161" t="s">
        <v>1057</v>
      </c>
      <c r="H184" s="161" t="s">
        <v>1057</v>
      </c>
      <c r="I184" s="161" t="s">
        <v>1057</v>
      </c>
      <c r="J184" s="161">
        <v>9</v>
      </c>
      <c r="K184" s="161">
        <v>9</v>
      </c>
      <c r="L184" s="160" t="s">
        <v>1057</v>
      </c>
      <c r="M184" s="160" t="s">
        <v>1387</v>
      </c>
      <c r="N184" s="160" t="s">
        <v>811</v>
      </c>
      <c r="O184" s="160" t="s">
        <v>1067</v>
      </c>
      <c r="P184" s="160" t="s">
        <v>1059</v>
      </c>
      <c r="Q184" s="160" t="s">
        <v>1087</v>
      </c>
      <c r="R184" s="162" t="str">
        <f>CONCATENATE("Targets: You and ",FLOOR(Data!E25/3,1)," touched creatures")</f>
        <v>Targets: You and 0 touched creatures</v>
      </c>
      <c r="S184" s="160" t="str">
        <f>CONCATENATE(Data!E25," min. [D]")</f>
        <v>1 min. [D]</v>
      </c>
      <c r="T184" s="160" t="s">
        <v>1061</v>
      </c>
      <c r="U184" s="160" t="s">
        <v>805</v>
      </c>
      <c r="V184" s="160" t="s">
        <v>1057</v>
      </c>
    </row>
    <row r="185" spans="2:22" ht="11.25">
      <c r="B185" s="161" t="s">
        <v>1057</v>
      </c>
      <c r="C185" s="161" t="s">
        <v>1057</v>
      </c>
      <c r="D185" s="161" t="s">
        <v>1057</v>
      </c>
      <c r="E185" s="161" t="s">
        <v>1057</v>
      </c>
      <c r="F185" s="161" t="s">
        <v>1057</v>
      </c>
      <c r="G185" s="161" t="s">
        <v>1057</v>
      </c>
      <c r="H185" s="161" t="s">
        <v>1057</v>
      </c>
      <c r="I185" s="161" t="s">
        <v>1057</v>
      </c>
      <c r="J185" s="161">
        <v>1</v>
      </c>
      <c r="K185" s="161">
        <v>1</v>
      </c>
      <c r="L185" s="160" t="s">
        <v>1057</v>
      </c>
      <c r="M185" s="160" t="s">
        <v>1432</v>
      </c>
      <c r="N185" s="160" t="s">
        <v>1162</v>
      </c>
      <c r="O185" s="160" t="s">
        <v>1091</v>
      </c>
      <c r="P185" s="160" t="s">
        <v>1059</v>
      </c>
      <c r="Q185" s="160" t="str">
        <f>CONCATENATE(25+(FLOOR(Data!E25/2,1)*5)," ft.")</f>
        <v>25 ft.</v>
      </c>
      <c r="R185" s="162" t="s">
        <v>1433</v>
      </c>
      <c r="S185" s="160" t="str">
        <f>CONCATENATE(Data!E25," hours")</f>
        <v>1 hours</v>
      </c>
      <c r="T185" s="160" t="s">
        <v>1061</v>
      </c>
      <c r="U185" s="160" t="s">
        <v>801</v>
      </c>
      <c r="V185" s="160" t="s">
        <v>1057</v>
      </c>
    </row>
    <row r="186" spans="2:22" ht="11.25">
      <c r="B186" s="161" t="s">
        <v>1057</v>
      </c>
      <c r="C186" s="161" t="s">
        <v>1057</v>
      </c>
      <c r="D186" s="161" t="s">
        <v>1057</v>
      </c>
      <c r="E186" s="161" t="s">
        <v>1057</v>
      </c>
      <c r="F186" s="161" t="s">
        <v>1057</v>
      </c>
      <c r="G186" s="161" t="s">
        <v>1057</v>
      </c>
      <c r="H186" s="161" t="s">
        <v>1057</v>
      </c>
      <c r="I186" s="161" t="s">
        <v>1057</v>
      </c>
      <c r="J186" s="161">
        <v>3</v>
      </c>
      <c r="K186" s="161">
        <v>3</v>
      </c>
      <c r="L186" s="160" t="s">
        <v>1057</v>
      </c>
      <c r="M186" s="160" t="s">
        <v>1389</v>
      </c>
      <c r="N186" s="160" t="s">
        <v>845</v>
      </c>
      <c r="O186" s="160" t="s">
        <v>1067</v>
      </c>
      <c r="P186" s="160" t="s">
        <v>1059</v>
      </c>
      <c r="Q186" s="160" t="s">
        <v>799</v>
      </c>
      <c r="R186" s="162" t="s">
        <v>1390</v>
      </c>
      <c r="S186" s="160" t="s">
        <v>1391</v>
      </c>
      <c r="T186" s="160" t="s">
        <v>1087</v>
      </c>
      <c r="U186" s="160" t="s">
        <v>805</v>
      </c>
      <c r="V186" s="160" t="s">
        <v>1057</v>
      </c>
    </row>
    <row r="187" spans="2:22" ht="11.25">
      <c r="B187" s="161" t="s">
        <v>1057</v>
      </c>
      <c r="C187" s="161" t="s">
        <v>1057</v>
      </c>
      <c r="D187" s="161">
        <v>6</v>
      </c>
      <c r="E187" s="161" t="s">
        <v>1057</v>
      </c>
      <c r="F187" s="161" t="s">
        <v>1057</v>
      </c>
      <c r="G187" s="161" t="s">
        <v>1057</v>
      </c>
      <c r="H187" s="161" t="s">
        <v>1057</v>
      </c>
      <c r="I187" s="161" t="s">
        <v>1057</v>
      </c>
      <c r="J187" s="161">
        <v>6</v>
      </c>
      <c r="K187" s="161">
        <v>6</v>
      </c>
      <c r="L187" s="160" t="s">
        <v>1057</v>
      </c>
      <c r="M187" s="160" t="s">
        <v>1392</v>
      </c>
      <c r="N187" s="160" t="s">
        <v>826</v>
      </c>
      <c r="O187" s="160" t="s">
        <v>1067</v>
      </c>
      <c r="P187" s="160" t="s">
        <v>1059</v>
      </c>
      <c r="Q187" s="160" t="str">
        <f>CONCATENATE(25+(FLOOR(Data!E25/2,1)*5)," ft.")</f>
        <v>25 ft.</v>
      </c>
      <c r="R187" s="162" t="s">
        <v>1156</v>
      </c>
      <c r="S187" s="160" t="s">
        <v>1087</v>
      </c>
      <c r="T187" s="160" t="s">
        <v>1090</v>
      </c>
      <c r="U187" s="160" t="s">
        <v>805</v>
      </c>
      <c r="V187" s="160" t="s">
        <v>1057</v>
      </c>
    </row>
    <row r="188" spans="2:22" ht="11.25">
      <c r="B188" s="161" t="s">
        <v>1057</v>
      </c>
      <c r="C188" s="161" t="s">
        <v>1057</v>
      </c>
      <c r="D188" s="161" t="s">
        <v>1057</v>
      </c>
      <c r="E188" s="161" t="s">
        <v>1057</v>
      </c>
      <c r="F188" s="161" t="s">
        <v>1057</v>
      </c>
      <c r="G188" s="161" t="s">
        <v>1057</v>
      </c>
      <c r="H188" s="161" t="s">
        <v>1057</v>
      </c>
      <c r="I188" s="161" t="s">
        <v>1057</v>
      </c>
      <c r="J188" s="161">
        <v>5</v>
      </c>
      <c r="K188" s="161">
        <v>5</v>
      </c>
      <c r="L188" s="160" t="s">
        <v>1057</v>
      </c>
      <c r="M188" s="160" t="s">
        <v>1393</v>
      </c>
      <c r="N188" s="160" t="s">
        <v>811</v>
      </c>
      <c r="O188" s="160" t="s">
        <v>1091</v>
      </c>
      <c r="P188" s="160" t="s">
        <v>1087</v>
      </c>
      <c r="Q188" s="160" t="str">
        <f>CONCATENATE(25+(FLOOR(Data!E25/2,1)*5)," ft.")</f>
        <v>25 ft.</v>
      </c>
      <c r="R188" s="162" t="str">
        <f>CONCATENATE("Target: Up to ",Data!E25*10," cu. ft; see text")</f>
        <v>Target: Up to 10 cu. ft; see text</v>
      </c>
      <c r="S188" s="160" t="s">
        <v>1069</v>
      </c>
      <c r="T188" s="160" t="s">
        <v>1061</v>
      </c>
      <c r="U188" s="160" t="s">
        <v>801</v>
      </c>
      <c r="V188" s="160" t="s">
        <v>1057</v>
      </c>
    </row>
    <row r="189" spans="2:22" ht="11.25">
      <c r="B189" s="161" t="s">
        <v>1057</v>
      </c>
      <c r="C189" s="161" t="s">
        <v>1057</v>
      </c>
      <c r="D189" s="161" t="s">
        <v>1057</v>
      </c>
      <c r="E189" s="161" t="s">
        <v>1057</v>
      </c>
      <c r="F189" s="161" t="s">
        <v>1057</v>
      </c>
      <c r="G189" s="161">
        <v>1</v>
      </c>
      <c r="H189" s="161" t="s">
        <v>1057</v>
      </c>
      <c r="I189" s="161" t="s">
        <v>1057</v>
      </c>
      <c r="J189" s="161" t="s">
        <v>1057</v>
      </c>
      <c r="K189" s="161" t="s">
        <v>1057</v>
      </c>
      <c r="L189" s="160" t="s">
        <v>1057</v>
      </c>
      <c r="M189" s="160" t="s">
        <v>1394</v>
      </c>
      <c r="N189" s="160" t="s">
        <v>1162</v>
      </c>
      <c r="O189" s="160" t="s">
        <v>1071</v>
      </c>
      <c r="P189" s="160" t="s">
        <v>1059</v>
      </c>
      <c r="Q189" s="160" t="str">
        <f>CONCATENATE(400+(40*Data!E25)," ft.")</f>
        <v>440 ft.</v>
      </c>
      <c r="R189" s="162" t="s">
        <v>1395</v>
      </c>
      <c r="S189" s="160" t="str">
        <f>CONCATENATE(Data!E25," min. [D]")</f>
        <v>1 min. [D]</v>
      </c>
      <c r="T189" s="160" t="s">
        <v>1061</v>
      </c>
      <c r="U189" s="160" t="s">
        <v>805</v>
      </c>
      <c r="V189" s="160" t="s">
        <v>1057</v>
      </c>
    </row>
    <row r="190" spans="2:22" ht="11.25">
      <c r="B190" s="161">
        <v>1</v>
      </c>
      <c r="C190" s="161" t="s">
        <v>1057</v>
      </c>
      <c r="D190" s="161" t="s">
        <v>1057</v>
      </c>
      <c r="E190" s="161" t="s">
        <v>1057</v>
      </c>
      <c r="F190" s="161">
        <v>1</v>
      </c>
      <c r="G190" s="161" t="s">
        <v>1057</v>
      </c>
      <c r="H190" s="161" t="s">
        <v>1057</v>
      </c>
      <c r="I190" s="161" t="s">
        <v>1057</v>
      </c>
      <c r="J190" s="161">
        <v>1</v>
      </c>
      <c r="K190" s="161">
        <v>1</v>
      </c>
      <c r="L190" s="160" t="s">
        <v>324</v>
      </c>
      <c r="M190" s="160" t="s">
        <v>323</v>
      </c>
      <c r="N190" s="160" t="s">
        <v>845</v>
      </c>
      <c r="O190" s="160" t="s">
        <v>1064</v>
      </c>
      <c r="P190" s="160" t="s">
        <v>1059</v>
      </c>
      <c r="Q190" s="160" t="s">
        <v>799</v>
      </c>
      <c r="R190" s="162" t="s">
        <v>1152</v>
      </c>
      <c r="S190" s="160" t="str">
        <f>CONCATENATE(Data!E25," min. [D]")</f>
        <v>1 min. [D]</v>
      </c>
      <c r="T190" s="160" t="s">
        <v>1153</v>
      </c>
      <c r="U190" s="160" t="s">
        <v>1087</v>
      </c>
      <c r="V190" s="160" t="s">
        <v>1057</v>
      </c>
    </row>
    <row r="191" spans="2:22" ht="11.25">
      <c r="B191" s="161" t="s">
        <v>1057</v>
      </c>
      <c r="C191" s="161" t="s">
        <v>1057</v>
      </c>
      <c r="D191" s="161">
        <v>5</v>
      </c>
      <c r="E191" s="161" t="s">
        <v>1057</v>
      </c>
      <c r="F191" s="161" t="s">
        <v>1057</v>
      </c>
      <c r="G191" s="161" t="s">
        <v>1057</v>
      </c>
      <c r="H191" s="161" t="s">
        <v>1057</v>
      </c>
      <c r="I191" s="161" t="s">
        <v>1057</v>
      </c>
      <c r="J191" s="161">
        <v>5</v>
      </c>
      <c r="K191" s="161">
        <v>5</v>
      </c>
      <c r="L191" s="160" t="s">
        <v>1398</v>
      </c>
      <c r="M191" s="160" t="s">
        <v>1397</v>
      </c>
      <c r="N191" s="160" t="s">
        <v>1179</v>
      </c>
      <c r="O191" s="160" t="s">
        <v>1091</v>
      </c>
      <c r="P191" s="160" t="s">
        <v>1059</v>
      </c>
      <c r="Q191" s="160" t="s">
        <v>799</v>
      </c>
      <c r="R191" s="162" t="s">
        <v>1399</v>
      </c>
      <c r="S191" s="160" t="str">
        <f>CONCATENATE(Data!E25," hours [D]")</f>
        <v>1 hours [D]</v>
      </c>
      <c r="T191" s="160" t="s">
        <v>1061</v>
      </c>
      <c r="U191" s="160" t="s">
        <v>801</v>
      </c>
      <c r="V191" s="160" t="s">
        <v>1400</v>
      </c>
    </row>
    <row r="192" spans="2:22" ht="11.25">
      <c r="B192" s="161" t="s">
        <v>1057</v>
      </c>
      <c r="C192" s="161" t="s">
        <v>1057</v>
      </c>
      <c r="D192" s="161">
        <v>3</v>
      </c>
      <c r="E192" s="161" t="s">
        <v>1057</v>
      </c>
      <c r="F192" s="161" t="s">
        <v>1057</v>
      </c>
      <c r="G192" s="161" t="s">
        <v>1057</v>
      </c>
      <c r="H192" s="161" t="s">
        <v>1057</v>
      </c>
      <c r="I192" s="161" t="s">
        <v>1057</v>
      </c>
      <c r="J192" s="161">
        <v>4</v>
      </c>
      <c r="K192" s="161">
        <v>4</v>
      </c>
      <c r="L192" s="160" t="s">
        <v>1057</v>
      </c>
      <c r="M192" s="160" t="s">
        <v>1401</v>
      </c>
      <c r="N192" s="160" t="s">
        <v>826</v>
      </c>
      <c r="O192" s="160" t="s">
        <v>1091</v>
      </c>
      <c r="P192" s="160" t="s">
        <v>1059</v>
      </c>
      <c r="Q192" s="160" t="s">
        <v>1274</v>
      </c>
      <c r="R192" s="162" t="s">
        <v>1187</v>
      </c>
      <c r="S192" s="160" t="s">
        <v>1087</v>
      </c>
      <c r="T192" s="160" t="s">
        <v>1115</v>
      </c>
      <c r="U192" s="160" t="s">
        <v>805</v>
      </c>
      <c r="V192" s="160" t="s">
        <v>1057</v>
      </c>
    </row>
    <row r="193" spans="2:22" ht="11.25">
      <c r="B193" s="161" t="s">
        <v>1057</v>
      </c>
      <c r="C193" s="161" t="s">
        <v>1057</v>
      </c>
      <c r="D193" s="161">
        <v>1</v>
      </c>
      <c r="E193" s="161" t="s">
        <v>1057</v>
      </c>
      <c r="F193" s="161" t="s">
        <v>1057</v>
      </c>
      <c r="G193" s="161" t="s">
        <v>1057</v>
      </c>
      <c r="H193" s="161" t="s">
        <v>1057</v>
      </c>
      <c r="I193" s="161" t="s">
        <v>1057</v>
      </c>
      <c r="J193" s="161">
        <v>1</v>
      </c>
      <c r="K193" s="161">
        <v>1</v>
      </c>
      <c r="L193" s="160" t="s">
        <v>1057</v>
      </c>
      <c r="M193" s="160" t="s">
        <v>18</v>
      </c>
      <c r="N193" s="160" t="s">
        <v>815</v>
      </c>
      <c r="O193" s="160" t="s">
        <v>1091</v>
      </c>
      <c r="P193" s="160" t="s">
        <v>1059</v>
      </c>
      <c r="Q193" s="160" t="str">
        <f>CONCATENATE(25+(FLOOR(Data!E25/2,1)*5)," ft.")</f>
        <v>25 ft.</v>
      </c>
      <c r="R193" s="162" t="s">
        <v>19</v>
      </c>
      <c r="S193" s="160" t="str">
        <f>CONCATENATE(Data!E25," rnds [D]")</f>
        <v>1 rnds [D]</v>
      </c>
      <c r="T193" s="160" t="s">
        <v>1087</v>
      </c>
      <c r="U193" s="160" t="s">
        <v>801</v>
      </c>
      <c r="V193" s="160" t="s">
        <v>1057</v>
      </c>
    </row>
    <row r="194" spans="2:22" ht="11.25">
      <c r="B194" s="161" t="s">
        <v>1057</v>
      </c>
      <c r="C194" s="161" t="s">
        <v>1057</v>
      </c>
      <c r="D194" s="161" t="s">
        <v>1057</v>
      </c>
      <c r="E194" s="161" t="s">
        <v>1057</v>
      </c>
      <c r="F194" s="161" t="s">
        <v>1057</v>
      </c>
      <c r="G194" s="161" t="s">
        <v>1057</v>
      </c>
      <c r="H194" s="161" t="s">
        <v>1057</v>
      </c>
      <c r="I194" s="161" t="s">
        <v>1057</v>
      </c>
      <c r="J194" s="161">
        <v>5</v>
      </c>
      <c r="K194" s="161">
        <v>5</v>
      </c>
      <c r="L194" s="160" t="s">
        <v>1057</v>
      </c>
      <c r="M194" s="160" t="s">
        <v>1404</v>
      </c>
      <c r="N194" s="160" t="s">
        <v>804</v>
      </c>
      <c r="O194" s="160" t="s">
        <v>1091</v>
      </c>
      <c r="P194" s="160" t="s">
        <v>1059</v>
      </c>
      <c r="Q194" s="160" t="str">
        <f>CONCATENATE(100+(10*Data!E25)," ft.")</f>
        <v>110 ft.</v>
      </c>
      <c r="R194" s="162" t="s">
        <v>1144</v>
      </c>
      <c r="S194" s="160" t="s">
        <v>1069</v>
      </c>
      <c r="T194" s="160" t="s">
        <v>1087</v>
      </c>
      <c r="U194" s="160" t="s">
        <v>805</v>
      </c>
      <c r="V194" s="160" t="s">
        <v>1057</v>
      </c>
    </row>
    <row r="195" spans="2:22" ht="11.25">
      <c r="B195" s="161" t="s">
        <v>1057</v>
      </c>
      <c r="C195" s="161" t="s">
        <v>1057</v>
      </c>
      <c r="D195" s="161">
        <v>6</v>
      </c>
      <c r="E195" s="161" t="s">
        <v>1057</v>
      </c>
      <c r="F195" s="161">
        <v>6</v>
      </c>
      <c r="G195" s="161">
        <v>6</v>
      </c>
      <c r="H195" s="161" t="s">
        <v>1057</v>
      </c>
      <c r="I195" s="161" t="s">
        <v>1057</v>
      </c>
      <c r="J195" s="161" t="s">
        <v>1057</v>
      </c>
      <c r="K195" s="161" t="s">
        <v>1057</v>
      </c>
      <c r="L195" s="160" t="s">
        <v>1406</v>
      </c>
      <c r="M195" s="160" t="s">
        <v>1405</v>
      </c>
      <c r="N195" s="160" t="s">
        <v>822</v>
      </c>
      <c r="O195" s="160" t="s">
        <v>1086</v>
      </c>
      <c r="P195" s="160" t="s">
        <v>1407</v>
      </c>
      <c r="Q195" s="160" t="s">
        <v>799</v>
      </c>
      <c r="R195" s="162" t="s">
        <v>1152</v>
      </c>
      <c r="S195" s="160" t="str">
        <f>CONCATENATE(Data!E25*10," min.")</f>
        <v>10 min.</v>
      </c>
      <c r="T195" s="160" t="s">
        <v>1408</v>
      </c>
      <c r="U195" s="160" t="s">
        <v>1409</v>
      </c>
      <c r="V195" s="160" t="s">
        <v>1057</v>
      </c>
    </row>
    <row r="196" spans="2:22" ht="11.25">
      <c r="B196" s="161">
        <v>1</v>
      </c>
      <c r="C196" s="161" t="s">
        <v>1057</v>
      </c>
      <c r="D196" s="161" t="s">
        <v>1057</v>
      </c>
      <c r="E196" s="161" t="s">
        <v>1057</v>
      </c>
      <c r="F196" s="161">
        <v>1</v>
      </c>
      <c r="G196" s="161" t="s">
        <v>1057</v>
      </c>
      <c r="H196" s="161" t="s">
        <v>1057</v>
      </c>
      <c r="I196" s="161" t="s">
        <v>1057</v>
      </c>
      <c r="J196" s="161">
        <v>1</v>
      </c>
      <c r="K196" s="161">
        <v>1</v>
      </c>
      <c r="L196" s="160" t="s">
        <v>326</v>
      </c>
      <c r="M196" s="160" t="s">
        <v>325</v>
      </c>
      <c r="N196" s="160" t="s">
        <v>845</v>
      </c>
      <c r="O196" s="160" t="s">
        <v>1064</v>
      </c>
      <c r="P196" s="160" t="s">
        <v>1059</v>
      </c>
      <c r="Q196" s="160" t="s">
        <v>799</v>
      </c>
      <c r="R196" s="162" t="s">
        <v>1152</v>
      </c>
      <c r="S196" s="160" t="str">
        <f>CONCATENATE(Data!E25," min. [D]")</f>
        <v>1 min. [D]</v>
      </c>
      <c r="T196" s="160" t="s">
        <v>1153</v>
      </c>
      <c r="U196" s="160" t="s">
        <v>1087</v>
      </c>
      <c r="V196" s="160" t="s">
        <v>1057</v>
      </c>
    </row>
    <row r="197" spans="2:22" ht="11.25">
      <c r="B197" s="161" t="s">
        <v>1057</v>
      </c>
      <c r="C197" s="161" t="s">
        <v>1057</v>
      </c>
      <c r="D197" s="161" t="s">
        <v>1057</v>
      </c>
      <c r="E197" s="161" t="s">
        <v>1057</v>
      </c>
      <c r="F197" s="161" t="s">
        <v>1057</v>
      </c>
      <c r="G197" s="161">
        <v>8</v>
      </c>
      <c r="H197" s="161" t="s">
        <v>1057</v>
      </c>
      <c r="I197" s="161" t="s">
        <v>1057</v>
      </c>
      <c r="J197" s="161">
        <v>7</v>
      </c>
      <c r="K197" s="161">
        <v>7</v>
      </c>
      <c r="L197" s="160" t="s">
        <v>1057</v>
      </c>
      <c r="M197" s="160" t="s">
        <v>1410</v>
      </c>
      <c r="N197" s="160" t="s">
        <v>826</v>
      </c>
      <c r="O197" s="160" t="s">
        <v>1067</v>
      </c>
      <c r="P197" s="160" t="s">
        <v>1059</v>
      </c>
      <c r="Q197" s="160" t="str">
        <f>CONCATENATE(25+(FLOOR(Data!E25/2,1)*5)," ft.")</f>
        <v>25 ft.</v>
      </c>
      <c r="R197" s="162" t="s">
        <v>1156</v>
      </c>
      <c r="S197" s="160" t="s">
        <v>1069</v>
      </c>
      <c r="T197" s="160" t="s">
        <v>1306</v>
      </c>
      <c r="U197" s="160" t="s">
        <v>805</v>
      </c>
      <c r="V197" s="160" t="s">
        <v>1057</v>
      </c>
    </row>
    <row r="198" spans="2:22" ht="11.25">
      <c r="B198" s="161" t="s">
        <v>1057</v>
      </c>
      <c r="C198" s="161" t="s">
        <v>1057</v>
      </c>
      <c r="D198" s="161" t="s">
        <v>1057</v>
      </c>
      <c r="E198" s="161" t="s">
        <v>1057</v>
      </c>
      <c r="F198" s="161" t="s">
        <v>1057</v>
      </c>
      <c r="G198" s="161">
        <v>6</v>
      </c>
      <c r="H198" s="161" t="s">
        <v>1057</v>
      </c>
      <c r="I198" s="161" t="s">
        <v>1057</v>
      </c>
      <c r="J198" s="161" t="s">
        <v>1057</v>
      </c>
      <c r="K198" s="161" t="s">
        <v>1057</v>
      </c>
      <c r="L198" s="160" t="s">
        <v>1412</v>
      </c>
      <c r="M198" s="160" t="s">
        <v>1411</v>
      </c>
      <c r="N198" s="160" t="s">
        <v>815</v>
      </c>
      <c r="O198" s="160" t="s">
        <v>1091</v>
      </c>
      <c r="P198" s="160" t="s">
        <v>1059</v>
      </c>
      <c r="Q198" s="160" t="s">
        <v>799</v>
      </c>
      <c r="R198" s="162" t="s">
        <v>1413</v>
      </c>
      <c r="S198" s="160" t="str">
        <f>CONCATENATE(Data!E25*10," min. or until used")</f>
        <v>10 min. or until used</v>
      </c>
      <c r="T198" s="160" t="s">
        <v>1087</v>
      </c>
      <c r="U198" s="160" t="s">
        <v>801</v>
      </c>
      <c r="V198" s="160" t="s">
        <v>1057</v>
      </c>
    </row>
    <row r="199" spans="2:22" ht="11.25">
      <c r="B199" s="161" t="s">
        <v>1057</v>
      </c>
      <c r="C199" s="161" t="s">
        <v>1057</v>
      </c>
      <c r="D199" s="161" t="s">
        <v>1057</v>
      </c>
      <c r="E199" s="161" t="s">
        <v>1057</v>
      </c>
      <c r="F199" s="161" t="s">
        <v>1057</v>
      </c>
      <c r="G199" s="161" t="s">
        <v>1057</v>
      </c>
      <c r="H199" s="161" t="s">
        <v>1057</v>
      </c>
      <c r="I199" s="161" t="s">
        <v>1057</v>
      </c>
      <c r="J199" s="161">
        <v>4</v>
      </c>
      <c r="K199" s="161">
        <v>4</v>
      </c>
      <c r="L199" s="160" t="s">
        <v>1415</v>
      </c>
      <c r="M199" s="160" t="s">
        <v>1414</v>
      </c>
      <c r="N199" s="160" t="s">
        <v>1162</v>
      </c>
      <c r="O199" s="160" t="s">
        <v>1064</v>
      </c>
      <c r="P199" s="160" t="s">
        <v>1059</v>
      </c>
      <c r="Q199" s="160" t="s">
        <v>817</v>
      </c>
      <c r="R199" s="162" t="s">
        <v>1084</v>
      </c>
      <c r="S199" s="160" t="str">
        <f>CONCATENATE(Data!E25," rnds [D]")</f>
        <v>1 rnds [D]</v>
      </c>
      <c r="T199" s="160" t="s">
        <v>1061</v>
      </c>
      <c r="U199" s="160" t="s">
        <v>801</v>
      </c>
      <c r="V199" s="160" t="s">
        <v>1057</v>
      </c>
    </row>
    <row r="200" spans="2:22" ht="11.25">
      <c r="B200" s="161" t="s">
        <v>1057</v>
      </c>
      <c r="C200" s="161" t="s">
        <v>1057</v>
      </c>
      <c r="D200" s="161" t="s">
        <v>1057</v>
      </c>
      <c r="E200" s="161" t="s">
        <v>1057</v>
      </c>
      <c r="F200" s="161">
        <v>8</v>
      </c>
      <c r="G200" s="161">
        <v>7</v>
      </c>
      <c r="H200" s="161" t="s">
        <v>1057</v>
      </c>
      <c r="I200" s="161" t="s">
        <v>1057</v>
      </c>
      <c r="J200" s="161" t="s">
        <v>1057</v>
      </c>
      <c r="L200" s="160" t="s">
        <v>1417</v>
      </c>
      <c r="M200" s="160" t="s">
        <v>1416</v>
      </c>
      <c r="N200" s="160" t="s">
        <v>1162</v>
      </c>
      <c r="O200" s="160" t="s">
        <v>1067</v>
      </c>
      <c r="P200" s="160" t="s">
        <v>1108</v>
      </c>
      <c r="Q200" s="160" t="str">
        <f>CONCATENATE(100+(10*Data!E25)," ft.")</f>
        <v>110 ft.</v>
      </c>
      <c r="R200" s="162" t="str">
        <f>CONCATENATE("Area: ",Data!E25*2," 10-ft. cubes (S)")</f>
        <v>Area: 2 10-ft. cubes (S)</v>
      </c>
      <c r="S200" s="160" t="s">
        <v>1069</v>
      </c>
      <c r="T200" s="160" t="s">
        <v>1188</v>
      </c>
      <c r="U200" s="160" t="s">
        <v>805</v>
      </c>
      <c r="V200" s="160" t="s">
        <v>1057</v>
      </c>
    </row>
    <row r="201" spans="2:22" ht="11.25">
      <c r="B201" s="161" t="s">
        <v>1057</v>
      </c>
      <c r="C201" s="161" t="s">
        <v>1057</v>
      </c>
      <c r="D201" s="161" t="s">
        <v>1057</v>
      </c>
      <c r="E201" s="161" t="s">
        <v>1057</v>
      </c>
      <c r="F201" s="161" t="s">
        <v>1057</v>
      </c>
      <c r="G201" s="161">
        <v>2</v>
      </c>
      <c r="H201" s="161" t="s">
        <v>1057</v>
      </c>
      <c r="I201" s="161" t="s">
        <v>1057</v>
      </c>
      <c r="J201" s="161">
        <v>4</v>
      </c>
      <c r="K201" s="161">
        <v>4</v>
      </c>
      <c r="L201" s="160" t="s">
        <v>1057</v>
      </c>
      <c r="M201" s="160" t="s">
        <v>1418</v>
      </c>
      <c r="N201" s="160" t="s">
        <v>845</v>
      </c>
      <c r="O201" s="160" t="s">
        <v>1091</v>
      </c>
      <c r="P201" s="160" t="s">
        <v>1118</v>
      </c>
      <c r="Q201" s="160" t="s">
        <v>799</v>
      </c>
      <c r="R201" s="162" t="s">
        <v>1290</v>
      </c>
      <c r="S201" s="160" t="s">
        <v>1391</v>
      </c>
      <c r="T201" s="160" t="s">
        <v>1087</v>
      </c>
      <c r="U201" s="160" t="s">
        <v>805</v>
      </c>
      <c r="V201" s="160" t="s">
        <v>1122</v>
      </c>
    </row>
    <row r="202" spans="2:22" ht="11.25">
      <c r="B202" s="161" t="s">
        <v>1057</v>
      </c>
      <c r="C202" s="161" t="s">
        <v>1057</v>
      </c>
      <c r="D202" s="161" t="s">
        <v>1057</v>
      </c>
      <c r="E202" s="161" t="s">
        <v>1057</v>
      </c>
      <c r="F202" s="161" t="s">
        <v>1057</v>
      </c>
      <c r="G202" s="161" t="s">
        <v>1057</v>
      </c>
      <c r="H202" s="161" t="s">
        <v>1057</v>
      </c>
      <c r="I202" s="161" t="s">
        <v>1057</v>
      </c>
      <c r="J202" s="161">
        <v>3</v>
      </c>
      <c r="K202" s="161">
        <v>3</v>
      </c>
      <c r="L202" s="160" t="s">
        <v>1057</v>
      </c>
      <c r="M202" s="160" t="s">
        <v>1419</v>
      </c>
      <c r="N202" s="160" t="s">
        <v>1162</v>
      </c>
      <c r="O202" s="160" t="s">
        <v>1091</v>
      </c>
      <c r="P202" s="160" t="s">
        <v>1059</v>
      </c>
      <c r="Q202" s="160" t="str">
        <f>CONCATENATE(400+(40*Data!E25)," ft.")</f>
        <v>440 ft.</v>
      </c>
      <c r="R202" s="162" t="s">
        <v>1159</v>
      </c>
      <c r="S202" s="160" t="s">
        <v>1069</v>
      </c>
      <c r="T202" s="160" t="s">
        <v>1188</v>
      </c>
      <c r="U202" s="160" t="s">
        <v>805</v>
      </c>
      <c r="V202" s="160" t="s">
        <v>1057</v>
      </c>
    </row>
    <row r="203" spans="2:22" ht="11.25">
      <c r="B203" s="161" t="s">
        <v>1057</v>
      </c>
      <c r="C203" s="161" t="s">
        <v>1057</v>
      </c>
      <c r="D203" s="161" t="s">
        <v>1057</v>
      </c>
      <c r="E203" s="161" t="s">
        <v>1057</v>
      </c>
      <c r="F203" s="161" t="s">
        <v>1057</v>
      </c>
      <c r="G203" s="161" t="s">
        <v>1057</v>
      </c>
      <c r="H203" s="161" t="s">
        <v>1057</v>
      </c>
      <c r="I203" s="161" t="s">
        <v>1057</v>
      </c>
      <c r="J203" s="161">
        <v>3</v>
      </c>
      <c r="K203" s="161">
        <v>3</v>
      </c>
      <c r="L203" s="160" t="s">
        <v>1057</v>
      </c>
      <c r="M203" s="160" t="s">
        <v>1420</v>
      </c>
      <c r="N203" s="160" t="s">
        <v>811</v>
      </c>
      <c r="O203" s="160" t="s">
        <v>1091</v>
      </c>
      <c r="P203" s="160" t="s">
        <v>1059</v>
      </c>
      <c r="Q203" s="160" t="str">
        <f>CONCATENATE(25+(FLOOR(Data!E25/2,1)*5)," ft.")</f>
        <v>25 ft.</v>
      </c>
      <c r="R203" s="162" t="s">
        <v>1421</v>
      </c>
      <c r="S203" s="160" t="str">
        <f>CONCATENATE(Data!E25*10," min.")</f>
        <v>10 min.</v>
      </c>
      <c r="T203" s="160" t="s">
        <v>1061</v>
      </c>
      <c r="U203" s="160" t="s">
        <v>801</v>
      </c>
      <c r="V203" s="160" t="s">
        <v>1057</v>
      </c>
    </row>
    <row r="204" spans="2:22" ht="11.25">
      <c r="B204" s="161" t="s">
        <v>1057</v>
      </c>
      <c r="C204" s="161" t="s">
        <v>1057</v>
      </c>
      <c r="D204" s="161" t="s">
        <v>1057</v>
      </c>
      <c r="E204" s="161" t="s">
        <v>1057</v>
      </c>
      <c r="F204" s="161" t="s">
        <v>1057</v>
      </c>
      <c r="G204" s="161">
        <v>2</v>
      </c>
      <c r="H204" s="161" t="s">
        <v>1057</v>
      </c>
      <c r="I204" s="161" t="s">
        <v>1057</v>
      </c>
      <c r="J204" s="161" t="s">
        <v>1057</v>
      </c>
      <c r="K204" s="161" t="s">
        <v>1057</v>
      </c>
      <c r="L204" s="160" t="s">
        <v>1057</v>
      </c>
      <c r="M204" s="160" t="s">
        <v>1422</v>
      </c>
      <c r="N204" s="160" t="s">
        <v>1162</v>
      </c>
      <c r="O204" s="160" t="s">
        <v>1071</v>
      </c>
      <c r="P204" s="160" t="s">
        <v>1059</v>
      </c>
      <c r="Q204" s="160" t="s">
        <v>1124</v>
      </c>
      <c r="R204" s="162" t="s">
        <v>1423</v>
      </c>
      <c r="S204" s="160" t="str">
        <f>CONCATENATE(Data!E25," min. [D]")</f>
        <v>1 min. [D]</v>
      </c>
      <c r="T204" s="160" t="s">
        <v>1061</v>
      </c>
      <c r="U204" s="160" t="s">
        <v>805</v>
      </c>
      <c r="V204" s="160" t="s">
        <v>1057</v>
      </c>
    </row>
    <row r="205" spans="2:22" ht="11.25">
      <c r="B205" s="161" t="s">
        <v>1057</v>
      </c>
      <c r="C205" s="161" t="s">
        <v>1057</v>
      </c>
      <c r="D205" s="161" t="s">
        <v>1057</v>
      </c>
      <c r="E205" s="161" t="s">
        <v>1057</v>
      </c>
      <c r="F205" s="161">
        <v>5</v>
      </c>
      <c r="G205" s="161">
        <v>4</v>
      </c>
      <c r="H205" s="161" t="s">
        <v>1057</v>
      </c>
      <c r="I205" s="161" t="s">
        <v>1057</v>
      </c>
      <c r="J205" s="161" t="s">
        <v>1057</v>
      </c>
      <c r="L205" s="160" t="s">
        <v>1425</v>
      </c>
      <c r="M205" s="160" t="s">
        <v>1424</v>
      </c>
      <c r="N205" s="160" t="s">
        <v>1162</v>
      </c>
      <c r="O205" s="160" t="s">
        <v>1071</v>
      </c>
      <c r="P205" s="160" t="s">
        <v>1059</v>
      </c>
      <c r="Q205" s="160" t="str">
        <f>CONCATENATE(100+(10*Data!E25)," ft.")</f>
        <v>110 ft.</v>
      </c>
      <c r="R205" s="162" t="s">
        <v>1426</v>
      </c>
      <c r="S205" s="160" t="s">
        <v>1069</v>
      </c>
      <c r="T205" s="160" t="s">
        <v>1188</v>
      </c>
      <c r="U205" s="160" t="s">
        <v>805</v>
      </c>
      <c r="V205" s="160" t="s">
        <v>1057</v>
      </c>
    </row>
    <row r="206" spans="2:22" ht="11.25">
      <c r="B206" s="161" t="s">
        <v>1057</v>
      </c>
      <c r="C206" s="161" t="s">
        <v>1057</v>
      </c>
      <c r="D206" s="161" t="s">
        <v>1057</v>
      </c>
      <c r="E206" s="161" t="s">
        <v>1057</v>
      </c>
      <c r="F206" s="161" t="s">
        <v>1057</v>
      </c>
      <c r="G206" s="161" t="s">
        <v>1057</v>
      </c>
      <c r="H206" s="161" t="s">
        <v>1057</v>
      </c>
      <c r="I206" s="161" t="s">
        <v>1057</v>
      </c>
      <c r="J206" s="161">
        <v>1</v>
      </c>
      <c r="K206" s="161">
        <v>1</v>
      </c>
      <c r="L206" s="160" t="s">
        <v>1057</v>
      </c>
      <c r="M206" s="160" t="s">
        <v>54</v>
      </c>
      <c r="N206" s="160" t="s">
        <v>845</v>
      </c>
      <c r="O206" s="160" t="s">
        <v>1104</v>
      </c>
      <c r="P206" s="160" t="s">
        <v>1059</v>
      </c>
      <c r="Q206" s="160" t="str">
        <f>CONCATENATE(100+(10*Data!E25)," ft.")</f>
        <v>110 ft.</v>
      </c>
      <c r="R206" s="162" t="str">
        <f>CONCATENATE("Target: One portal, up to ",Data!E25*20," sq. ft")</f>
        <v>Target: One portal, up to 20 sq. ft</v>
      </c>
      <c r="S206" s="160" t="str">
        <f>CONCATENATE(Data!E25," min. [D]")</f>
        <v>1 min. [D]</v>
      </c>
      <c r="T206" s="160" t="s">
        <v>1061</v>
      </c>
      <c r="U206" s="160" t="s">
        <v>801</v>
      </c>
      <c r="V206" s="160" t="s">
        <v>1057</v>
      </c>
    </row>
    <row r="207" spans="2:22" ht="11.25">
      <c r="B207" s="161" t="s">
        <v>1057</v>
      </c>
      <c r="C207" s="161" t="s">
        <v>1057</v>
      </c>
      <c r="D207" s="161">
        <v>1</v>
      </c>
      <c r="E207" s="161" t="s">
        <v>1057</v>
      </c>
      <c r="F207" s="161" t="s">
        <v>1057</v>
      </c>
      <c r="G207" s="161" t="s">
        <v>1057</v>
      </c>
      <c r="H207" s="161" t="s">
        <v>1057</v>
      </c>
      <c r="I207" s="161" t="s">
        <v>1057</v>
      </c>
      <c r="J207" s="161">
        <v>1</v>
      </c>
      <c r="K207" s="161">
        <v>1</v>
      </c>
      <c r="L207" s="160" t="s">
        <v>1057</v>
      </c>
      <c r="M207" s="160" t="s">
        <v>71</v>
      </c>
      <c r="N207" s="160" t="s">
        <v>804</v>
      </c>
      <c r="O207" s="160" t="s">
        <v>1067</v>
      </c>
      <c r="P207" s="160" t="s">
        <v>1108</v>
      </c>
      <c r="Q207" s="160" t="str">
        <f>CONCATENATE(25+(FLOOR(Data!E25/2,1)*5)," ft.")</f>
        <v>25 ft.</v>
      </c>
      <c r="R207" s="162" t="s">
        <v>72</v>
      </c>
      <c r="S207" s="160" t="s">
        <v>73</v>
      </c>
      <c r="T207" s="160" t="s">
        <v>1141</v>
      </c>
      <c r="U207" s="160" t="s">
        <v>805</v>
      </c>
      <c r="V207" s="160" t="s">
        <v>1057</v>
      </c>
    </row>
    <row r="208" spans="2:22" ht="11.25">
      <c r="B208" s="161" t="s">
        <v>1057</v>
      </c>
      <c r="C208" s="161" t="s">
        <v>1057</v>
      </c>
      <c r="D208" s="161" t="s">
        <v>1057</v>
      </c>
      <c r="E208" s="161" t="s">
        <v>1057</v>
      </c>
      <c r="F208" s="161" t="s">
        <v>1057</v>
      </c>
      <c r="G208" s="161" t="s">
        <v>1057</v>
      </c>
      <c r="H208" s="161" t="s">
        <v>1057</v>
      </c>
      <c r="I208" s="161" t="s">
        <v>1057</v>
      </c>
      <c r="J208" s="161">
        <v>6</v>
      </c>
      <c r="K208" s="161">
        <v>6</v>
      </c>
      <c r="L208" s="160" t="s">
        <v>1057</v>
      </c>
      <c r="M208" s="160" t="s">
        <v>1431</v>
      </c>
      <c r="N208" s="160" t="s">
        <v>811</v>
      </c>
      <c r="O208" s="160" t="s">
        <v>1091</v>
      </c>
      <c r="P208" s="160" t="s">
        <v>1059</v>
      </c>
      <c r="Q208" s="160" t="str">
        <f>CONCATENATE(100+(10*Data!E25)," ft.")</f>
        <v>110 ft.</v>
      </c>
      <c r="R208" s="162" t="s">
        <v>1144</v>
      </c>
      <c r="S208" s="160" t="s">
        <v>1069</v>
      </c>
      <c r="T208" s="160" t="s">
        <v>1090</v>
      </c>
      <c r="U208" s="160" t="s">
        <v>805</v>
      </c>
      <c r="V208" s="160" t="s">
        <v>1057</v>
      </c>
    </row>
    <row r="209" spans="2:22" ht="11.25">
      <c r="B209" s="161" t="s">
        <v>1057</v>
      </c>
      <c r="C209" s="161" t="s">
        <v>1057</v>
      </c>
      <c r="D209" s="161">
        <v>1</v>
      </c>
      <c r="E209" s="161" t="s">
        <v>1057</v>
      </c>
      <c r="F209" s="161" t="s">
        <v>1057</v>
      </c>
      <c r="G209" s="161" t="s">
        <v>1057</v>
      </c>
      <c r="H209" s="161" t="s">
        <v>1057</v>
      </c>
      <c r="I209" s="161" t="s">
        <v>1057</v>
      </c>
      <c r="J209" s="161">
        <v>1</v>
      </c>
      <c r="K209" s="161">
        <v>1</v>
      </c>
      <c r="L209" s="160" t="s">
        <v>78</v>
      </c>
      <c r="M209" s="160" t="s">
        <v>77</v>
      </c>
      <c r="N209" s="160" t="s">
        <v>822</v>
      </c>
      <c r="O209" s="160" t="s">
        <v>1064</v>
      </c>
      <c r="P209" s="160" t="s">
        <v>1114</v>
      </c>
      <c r="Q209" s="160" t="s">
        <v>799</v>
      </c>
      <c r="R209" s="162" t="s">
        <v>79</v>
      </c>
      <c r="S209" s="160" t="s">
        <v>1069</v>
      </c>
      <c r="T209" s="160" t="s">
        <v>1061</v>
      </c>
      <c r="U209" s="160" t="s">
        <v>801</v>
      </c>
      <c r="V209" s="160" t="s">
        <v>80</v>
      </c>
    </row>
    <row r="210" spans="2:22" ht="11.25">
      <c r="B210" s="161" t="s">
        <v>1057</v>
      </c>
      <c r="C210" s="161" t="s">
        <v>1057</v>
      </c>
      <c r="D210" s="161" t="s">
        <v>1057</v>
      </c>
      <c r="E210" s="161" t="s">
        <v>1057</v>
      </c>
      <c r="F210" s="161" t="s">
        <v>1057</v>
      </c>
      <c r="G210" s="161" t="s">
        <v>1057</v>
      </c>
      <c r="H210" s="161" t="s">
        <v>1057</v>
      </c>
      <c r="I210" s="161" t="s">
        <v>1057</v>
      </c>
      <c r="J210" s="161">
        <v>3</v>
      </c>
      <c r="K210" s="161">
        <v>3</v>
      </c>
      <c r="L210" s="160" t="s">
        <v>1435</v>
      </c>
      <c r="M210" s="160" t="s">
        <v>1434</v>
      </c>
      <c r="N210" s="160" t="s">
        <v>811</v>
      </c>
      <c r="O210" s="160" t="s">
        <v>1077</v>
      </c>
      <c r="P210" s="160" t="s">
        <v>1059</v>
      </c>
      <c r="Q210" s="160" t="s">
        <v>799</v>
      </c>
      <c r="R210" s="162" t="s">
        <v>1152</v>
      </c>
      <c r="S210" s="160" t="str">
        <f>CONCATENATE(Data!E25," min.")</f>
        <v>1 min.</v>
      </c>
      <c r="T210" s="160" t="s">
        <v>1153</v>
      </c>
      <c r="U210" s="160" t="s">
        <v>1073</v>
      </c>
      <c r="V210" s="160" t="s">
        <v>1057</v>
      </c>
    </row>
    <row r="211" spans="2:22" ht="11.25">
      <c r="B211" s="161" t="s">
        <v>1057</v>
      </c>
      <c r="C211" s="161" t="s">
        <v>1057</v>
      </c>
      <c r="D211" s="161">
        <v>1</v>
      </c>
      <c r="E211" s="161">
        <v>1</v>
      </c>
      <c r="F211" s="161">
        <v>1</v>
      </c>
      <c r="G211" s="161" t="s">
        <v>1057</v>
      </c>
      <c r="H211" s="161" t="s">
        <v>1057</v>
      </c>
      <c r="I211" s="161" t="s">
        <v>1057</v>
      </c>
      <c r="J211" s="161">
        <v>1</v>
      </c>
      <c r="K211" s="161">
        <v>1</v>
      </c>
      <c r="L211" s="160" t="s">
        <v>1057</v>
      </c>
      <c r="M211" s="160" t="s">
        <v>852</v>
      </c>
      <c r="N211" s="160" t="s">
        <v>815</v>
      </c>
      <c r="O211" s="160" t="s">
        <v>1077</v>
      </c>
      <c r="P211" s="160" t="s">
        <v>1108</v>
      </c>
      <c r="Q211" s="160" t="str">
        <f>CONCATENATE(25+(FLOOR(Data!E25/2,1)*5)," ft.")</f>
        <v>25 ft.</v>
      </c>
      <c r="R211" s="162" t="s">
        <v>484</v>
      </c>
      <c r="S211" s="160" t="str">
        <f>CONCATENATE(Data!E25," rnds [D]")</f>
        <v>1 rnds [D]</v>
      </c>
      <c r="T211" s="160" t="s">
        <v>1061</v>
      </c>
      <c r="U211" s="160" t="s">
        <v>801</v>
      </c>
      <c r="V211" s="160" t="s">
        <v>1057</v>
      </c>
    </row>
    <row r="212" spans="2:22" ht="11.25">
      <c r="B212" s="161" t="s">
        <v>1057</v>
      </c>
      <c r="C212" s="161" t="s">
        <v>1057</v>
      </c>
      <c r="D212" s="161" t="s">
        <v>1057</v>
      </c>
      <c r="E212" s="161" t="s">
        <v>1057</v>
      </c>
      <c r="F212" s="161">
        <v>6</v>
      </c>
      <c r="G212" s="161" t="s">
        <v>1057</v>
      </c>
      <c r="H212" s="161" t="s">
        <v>1057</v>
      </c>
      <c r="I212" s="161" t="s">
        <v>1057</v>
      </c>
      <c r="J212" s="161" t="s">
        <v>1057</v>
      </c>
      <c r="K212" s="161" t="s">
        <v>1057</v>
      </c>
      <c r="L212" s="160" t="s">
        <v>1057</v>
      </c>
      <c r="M212" s="160" t="s">
        <v>1438</v>
      </c>
      <c r="N212" s="160" t="s">
        <v>845</v>
      </c>
      <c r="O212" s="160" t="s">
        <v>1251</v>
      </c>
      <c r="P212" s="160" t="s">
        <v>1439</v>
      </c>
      <c r="Q212" s="160" t="str">
        <f>CONCATENATE(100+(10*Data!E25)," ft.")</f>
        <v>110 ft.</v>
      </c>
      <c r="R212" s="162" t="str">
        <f>CONCATENATE("Area: ",Data!E25," 60-ft. cubes (S)")</f>
        <v>Area: 1 60-ft. cubes (S)</v>
      </c>
      <c r="S212" s="160" t="s">
        <v>800</v>
      </c>
      <c r="T212" s="160" t="s">
        <v>1087</v>
      </c>
      <c r="U212" s="160" t="s">
        <v>805</v>
      </c>
      <c r="V212" s="160" t="s">
        <v>1057</v>
      </c>
    </row>
    <row r="213" spans="2:22" ht="11.25">
      <c r="B213" s="161" t="s">
        <v>1057</v>
      </c>
      <c r="C213" s="161" t="s">
        <v>1057</v>
      </c>
      <c r="D213" s="161" t="s">
        <v>1057</v>
      </c>
      <c r="E213" s="161" t="s">
        <v>1057</v>
      </c>
      <c r="F213" s="161" t="s">
        <v>1057</v>
      </c>
      <c r="G213" s="161" t="s">
        <v>1057</v>
      </c>
      <c r="H213" s="161" t="s">
        <v>1057</v>
      </c>
      <c r="I213" s="161" t="s">
        <v>1057</v>
      </c>
      <c r="J213" s="161">
        <v>7</v>
      </c>
      <c r="K213" s="161">
        <v>7</v>
      </c>
      <c r="L213" s="160" t="s">
        <v>1057</v>
      </c>
      <c r="M213" s="160" t="s">
        <v>1440</v>
      </c>
      <c r="N213" s="160" t="s">
        <v>1162</v>
      </c>
      <c r="O213" s="160" t="s">
        <v>1091</v>
      </c>
      <c r="P213" s="160" t="s">
        <v>1059</v>
      </c>
      <c r="Q213" s="160" t="str">
        <f>CONCATENATE(25+(FLOOR(Data!E25/2,1)*5)," ft.")</f>
        <v>25 ft.</v>
      </c>
      <c r="R213" s="162" t="s">
        <v>1441</v>
      </c>
      <c r="S213" s="160" t="str">
        <f>CONCATENATE(Data!E25*2," hours [D]")</f>
        <v>2 hours [D]</v>
      </c>
      <c r="T213" s="160" t="s">
        <v>1061</v>
      </c>
      <c r="U213" s="160" t="s">
        <v>801</v>
      </c>
      <c r="V213" s="160" t="s">
        <v>1088</v>
      </c>
    </row>
    <row r="214" spans="2:22" ht="11.25">
      <c r="B214" s="161" t="s">
        <v>1057</v>
      </c>
      <c r="C214" s="161" t="s">
        <v>1057</v>
      </c>
      <c r="D214" s="161" t="s">
        <v>1057</v>
      </c>
      <c r="E214" s="161" t="s">
        <v>1057</v>
      </c>
      <c r="F214" s="161" t="s">
        <v>1057</v>
      </c>
      <c r="G214" s="161" t="s">
        <v>1057</v>
      </c>
      <c r="H214" s="161" t="s">
        <v>1057</v>
      </c>
      <c r="I214" s="161" t="s">
        <v>1057</v>
      </c>
      <c r="J214" s="161">
        <v>6</v>
      </c>
      <c r="K214" s="161">
        <v>6</v>
      </c>
      <c r="L214" s="160" t="s">
        <v>1057</v>
      </c>
      <c r="M214" s="160" t="s">
        <v>1442</v>
      </c>
      <c r="N214" s="160" t="s">
        <v>1162</v>
      </c>
      <c r="O214" s="160" t="s">
        <v>1086</v>
      </c>
      <c r="P214" s="160" t="s">
        <v>1059</v>
      </c>
      <c r="Q214" s="160" t="str">
        <f>CONCATENATE(100+(10*Data!E25)," ft.")</f>
        <v>110 ft.</v>
      </c>
      <c r="R214" s="162" t="s">
        <v>1225</v>
      </c>
      <c r="S214" s="160" t="str">
        <f>CONCATENATE(Data!E25," rnds [D]")</f>
        <v>1 rnds [D]</v>
      </c>
      <c r="T214" s="160" t="s">
        <v>1061</v>
      </c>
      <c r="U214" s="160" t="s">
        <v>805</v>
      </c>
      <c r="V214" s="160" t="s">
        <v>1057</v>
      </c>
    </row>
    <row r="215" spans="2:22" ht="11.25">
      <c r="B215" s="161" t="s">
        <v>1057</v>
      </c>
      <c r="C215" s="161" t="s">
        <v>1057</v>
      </c>
      <c r="D215" s="161" t="s">
        <v>1057</v>
      </c>
      <c r="E215" s="161" t="s">
        <v>1057</v>
      </c>
      <c r="F215" s="161" t="s">
        <v>1057</v>
      </c>
      <c r="G215" s="161">
        <v>9</v>
      </c>
      <c r="H215" s="161" t="s">
        <v>1057</v>
      </c>
      <c r="I215" s="161" t="s">
        <v>1057</v>
      </c>
      <c r="J215" s="161">
        <v>9</v>
      </c>
      <c r="K215" s="161">
        <v>9</v>
      </c>
      <c r="L215" s="160" t="s">
        <v>1444</v>
      </c>
      <c r="M215" s="160" t="s">
        <v>1443</v>
      </c>
      <c r="N215" s="160" t="s">
        <v>822</v>
      </c>
      <c r="O215" s="160" t="s">
        <v>1064</v>
      </c>
      <c r="P215" s="160" t="s">
        <v>1059</v>
      </c>
      <c r="Q215" s="160" t="s">
        <v>799</v>
      </c>
      <c r="R215" s="162" t="s">
        <v>1152</v>
      </c>
      <c r="S215" s="160" t="str">
        <f>CONCATENATE(Data!E25*10," min.")</f>
        <v>10 min.</v>
      </c>
      <c r="T215" s="160" t="s">
        <v>1408</v>
      </c>
      <c r="U215" s="160" t="s">
        <v>1409</v>
      </c>
      <c r="V215" s="160" t="s">
        <v>1057</v>
      </c>
    </row>
    <row r="216" spans="2:22" ht="11.25">
      <c r="B216" s="161" t="s">
        <v>1057</v>
      </c>
      <c r="C216" s="161">
        <v>1</v>
      </c>
      <c r="D216" s="161" t="s">
        <v>1057</v>
      </c>
      <c r="E216" s="161" t="s">
        <v>1057</v>
      </c>
      <c r="F216" s="161" t="s">
        <v>1057</v>
      </c>
      <c r="G216" s="161">
        <v>1</v>
      </c>
      <c r="H216" s="161" t="s">
        <v>1057</v>
      </c>
      <c r="I216" s="161">
        <v>1</v>
      </c>
      <c r="J216" s="161">
        <v>1</v>
      </c>
      <c r="K216" s="161">
        <v>1</v>
      </c>
      <c r="L216" s="160" t="s">
        <v>1057</v>
      </c>
      <c r="M216" s="160" t="s">
        <v>788</v>
      </c>
      <c r="N216" s="160" t="s">
        <v>811</v>
      </c>
      <c r="O216" s="160" t="s">
        <v>1091</v>
      </c>
      <c r="P216" s="160" t="s">
        <v>1059</v>
      </c>
      <c r="Q216" s="160" t="s">
        <v>799</v>
      </c>
      <c r="R216" s="162" t="s">
        <v>1152</v>
      </c>
      <c r="S216" s="160" t="str">
        <f>CONCATENATE(Data!E25," min. [D]")</f>
        <v>1 min. [D]</v>
      </c>
      <c r="T216" s="160" t="s">
        <v>1153</v>
      </c>
      <c r="U216" s="160" t="s">
        <v>805</v>
      </c>
      <c r="V216" s="160" t="s">
        <v>1057</v>
      </c>
    </row>
    <row r="217" spans="2:22" ht="11.25">
      <c r="B217" s="161" t="s">
        <v>1057</v>
      </c>
      <c r="C217" s="161" t="s">
        <v>1057</v>
      </c>
      <c r="D217" s="161">
        <v>6</v>
      </c>
      <c r="E217" s="161" t="s">
        <v>1057</v>
      </c>
      <c r="F217" s="161" t="s">
        <v>1057</v>
      </c>
      <c r="G217" s="161" t="s">
        <v>1057</v>
      </c>
      <c r="H217" s="161" t="s">
        <v>1057</v>
      </c>
      <c r="I217" s="161" t="s">
        <v>1057</v>
      </c>
      <c r="J217" s="161">
        <v>6</v>
      </c>
      <c r="K217" s="161">
        <v>6</v>
      </c>
      <c r="L217" s="160" t="s">
        <v>1057</v>
      </c>
      <c r="M217" s="160" t="s">
        <v>1446</v>
      </c>
      <c r="N217" s="160" t="s">
        <v>811</v>
      </c>
      <c r="O217" s="160" t="s">
        <v>1064</v>
      </c>
      <c r="P217" s="160" t="s">
        <v>1059</v>
      </c>
      <c r="Q217" s="160" t="str">
        <f>CONCATENATE(25+(FLOOR(Data!E25/2,1)*5)," ft.")</f>
        <v>25 ft.</v>
      </c>
      <c r="R217" s="162" t="str">
        <f>CONCATENATE("Target: ",Data!E25," creatures within 30 ft. of each other")</f>
        <v>Target: 1 creatures within 30 ft. of each other</v>
      </c>
      <c r="S217" s="160" t="str">
        <f>CONCATENATE(Data!E25," min.")</f>
        <v>1 min.</v>
      </c>
      <c r="T217" s="160" t="s">
        <v>1153</v>
      </c>
      <c r="U217" s="160" t="s">
        <v>805</v>
      </c>
      <c r="V217" s="160" t="s">
        <v>1057</v>
      </c>
    </row>
    <row r="218" spans="2:22" ht="11.25">
      <c r="B218" s="161" t="s">
        <v>1057</v>
      </c>
      <c r="C218" s="161" t="s">
        <v>1057</v>
      </c>
      <c r="D218" s="161" t="s">
        <v>1057</v>
      </c>
      <c r="E218" s="161" t="s">
        <v>1057</v>
      </c>
      <c r="F218" s="161" t="s">
        <v>1057</v>
      </c>
      <c r="G218" s="161" t="s">
        <v>1057</v>
      </c>
      <c r="H218" s="161" t="s">
        <v>1057</v>
      </c>
      <c r="I218" s="161" t="s">
        <v>1057</v>
      </c>
      <c r="J218" s="161">
        <v>9</v>
      </c>
      <c r="K218" s="161">
        <v>9</v>
      </c>
      <c r="L218" s="160" t="s">
        <v>1057</v>
      </c>
      <c r="M218" s="160" t="s">
        <v>1447</v>
      </c>
      <c r="N218" s="160" t="s">
        <v>845</v>
      </c>
      <c r="O218" s="160" t="s">
        <v>1067</v>
      </c>
      <c r="P218" s="160" t="s">
        <v>1059</v>
      </c>
      <c r="Q218" s="160" t="str">
        <f>CONCATENATE(25+(FLOOR(Data!E25/2,1)*5)," ft.")</f>
        <v>25 ft.</v>
      </c>
      <c r="R218" s="162" t="s">
        <v>1144</v>
      </c>
      <c r="S218" s="160" t="s">
        <v>1069</v>
      </c>
      <c r="T218" s="160" t="s">
        <v>1153</v>
      </c>
      <c r="U218" s="160" t="s">
        <v>805</v>
      </c>
      <c r="V218" s="160" t="s">
        <v>1057</v>
      </c>
    </row>
    <row r="219" spans="2:22" ht="11.25">
      <c r="B219" s="161" t="s">
        <v>1057</v>
      </c>
      <c r="C219" s="161">
        <v>4</v>
      </c>
      <c r="D219" s="161">
        <v>4</v>
      </c>
      <c r="E219" s="161">
        <v>4</v>
      </c>
      <c r="F219" s="161">
        <v>4</v>
      </c>
      <c r="G219" s="161">
        <v>4</v>
      </c>
      <c r="H219" s="161" t="s">
        <v>1057</v>
      </c>
      <c r="I219" s="161">
        <v>4</v>
      </c>
      <c r="J219" s="161" t="s">
        <v>1057</v>
      </c>
      <c r="K219" s="161" t="s">
        <v>1057</v>
      </c>
      <c r="L219" s="160" t="s">
        <v>1448</v>
      </c>
      <c r="M219" s="160" t="s">
        <v>922</v>
      </c>
      <c r="N219" s="160" t="s">
        <v>845</v>
      </c>
      <c r="O219" s="160" t="s">
        <v>1251</v>
      </c>
      <c r="P219" s="160" t="s">
        <v>1059</v>
      </c>
      <c r="Q219" s="160" t="s">
        <v>799</v>
      </c>
      <c r="R219" s="162" t="s">
        <v>1152</v>
      </c>
      <c r="S219" s="160" t="str">
        <f>CONCATENATE(Data!E25*10," min.")</f>
        <v>10 min.</v>
      </c>
      <c r="T219" s="160" t="s">
        <v>1153</v>
      </c>
      <c r="U219" s="160" t="s">
        <v>1073</v>
      </c>
      <c r="V219" s="160" t="s">
        <v>1057</v>
      </c>
    </row>
    <row r="220" spans="2:22" ht="11.25">
      <c r="B220" s="161" t="s">
        <v>1057</v>
      </c>
      <c r="C220" s="161" t="s">
        <v>1057</v>
      </c>
      <c r="D220" s="161" t="s">
        <v>1057</v>
      </c>
      <c r="E220" s="161" t="s">
        <v>1057</v>
      </c>
      <c r="F220" s="161" t="s">
        <v>1057</v>
      </c>
      <c r="G220" s="161" t="s">
        <v>1057</v>
      </c>
      <c r="H220" s="161" t="s">
        <v>1057</v>
      </c>
      <c r="I220" s="161" t="s">
        <v>1057</v>
      </c>
      <c r="J220" s="161">
        <v>6</v>
      </c>
      <c r="K220" s="161">
        <v>6</v>
      </c>
      <c r="L220" s="160" t="s">
        <v>1057</v>
      </c>
      <c r="M220" s="160" t="s">
        <v>1449</v>
      </c>
      <c r="N220" s="160" t="s">
        <v>1162</v>
      </c>
      <c r="O220" s="160" t="s">
        <v>1086</v>
      </c>
      <c r="P220" s="160" t="s">
        <v>1059</v>
      </c>
      <c r="Q220" s="160" t="str">
        <f>CONCATENATE(400+(40*Data!E25)," ft.")</f>
        <v>440 ft.</v>
      </c>
      <c r="R220" s="162" t="s">
        <v>1450</v>
      </c>
      <c r="S220" s="160" t="s">
        <v>1087</v>
      </c>
      <c r="T220" s="160" t="s">
        <v>1087</v>
      </c>
      <c r="U220" s="160" t="s">
        <v>805</v>
      </c>
      <c r="V220" s="160" t="s">
        <v>1057</v>
      </c>
    </row>
    <row r="221" spans="2:22" ht="11.25">
      <c r="B221" s="161" t="s">
        <v>1057</v>
      </c>
      <c r="C221" s="161" t="s">
        <v>1057</v>
      </c>
      <c r="D221" s="161">
        <v>3</v>
      </c>
      <c r="E221" s="161" t="s">
        <v>1057</v>
      </c>
      <c r="F221" s="161" t="s">
        <v>1057</v>
      </c>
      <c r="G221" s="161" t="s">
        <v>1057</v>
      </c>
      <c r="H221" s="161" t="s">
        <v>1057</v>
      </c>
      <c r="I221" s="161" t="s">
        <v>1057</v>
      </c>
      <c r="J221" s="161">
        <v>3</v>
      </c>
      <c r="K221" s="161">
        <v>3</v>
      </c>
      <c r="L221" s="160" t="s">
        <v>1452</v>
      </c>
      <c r="M221" s="160" t="s">
        <v>1451</v>
      </c>
      <c r="N221" s="160" t="s">
        <v>811</v>
      </c>
      <c r="O221" s="160" t="s">
        <v>1453</v>
      </c>
      <c r="P221" s="160" t="s">
        <v>1059</v>
      </c>
      <c r="Q221" s="160" t="s">
        <v>799</v>
      </c>
      <c r="R221" s="162" t="s">
        <v>1454</v>
      </c>
      <c r="S221" s="160" t="str">
        <f>CONCATENATE(Data!E25*2," min. [D]")</f>
        <v>2 min. [D]</v>
      </c>
      <c r="T221" s="160" t="s">
        <v>1061</v>
      </c>
      <c r="U221" s="160" t="s">
        <v>801</v>
      </c>
      <c r="V221" s="160" t="s">
        <v>1057</v>
      </c>
    </row>
    <row r="222" spans="2:22" ht="11.25">
      <c r="B222" s="161" t="s">
        <v>1057</v>
      </c>
      <c r="C222" s="161" t="s">
        <v>1057</v>
      </c>
      <c r="D222" s="161" t="s">
        <v>1057</v>
      </c>
      <c r="E222" s="161" t="s">
        <v>1057</v>
      </c>
      <c r="F222" s="161">
        <v>9</v>
      </c>
      <c r="G222" s="161" t="s">
        <v>1057</v>
      </c>
      <c r="H222" s="161" t="s">
        <v>1057</v>
      </c>
      <c r="I222" s="161" t="s">
        <v>1057</v>
      </c>
      <c r="J222" s="161">
        <v>9</v>
      </c>
      <c r="K222" s="161">
        <v>9</v>
      </c>
      <c r="L222" s="160" t="s">
        <v>1057</v>
      </c>
      <c r="M222" s="160" t="s">
        <v>1455</v>
      </c>
      <c r="N222" s="160" t="s">
        <v>815</v>
      </c>
      <c r="O222" s="160" t="s">
        <v>1087</v>
      </c>
      <c r="P222" s="160" t="s">
        <v>1059</v>
      </c>
      <c r="Q222" s="160" t="str">
        <f>CONCATENATE(100+(10*Data!E25)," ft.")</f>
        <v>110 ft.</v>
      </c>
      <c r="R222" s="162" t="s">
        <v>1456</v>
      </c>
      <c r="S222" s="160" t="s">
        <v>1087</v>
      </c>
      <c r="T222" s="160" t="s">
        <v>1061</v>
      </c>
      <c r="U222" s="160" t="s">
        <v>801</v>
      </c>
      <c r="V222" s="160" t="s">
        <v>1057</v>
      </c>
    </row>
    <row r="223" spans="2:22" ht="11.25">
      <c r="B223" s="161" t="s">
        <v>1057</v>
      </c>
      <c r="C223" s="161" t="s">
        <v>1057</v>
      </c>
      <c r="D223" s="161">
        <v>3</v>
      </c>
      <c r="E223" s="161" t="s">
        <v>1057</v>
      </c>
      <c r="F223" s="161" t="s">
        <v>1057</v>
      </c>
      <c r="G223" s="161" t="s">
        <v>1057</v>
      </c>
      <c r="H223" s="161" t="s">
        <v>1057</v>
      </c>
      <c r="I223" s="161" t="s">
        <v>1057</v>
      </c>
      <c r="J223" s="161">
        <v>4</v>
      </c>
      <c r="K223" s="161">
        <v>4</v>
      </c>
      <c r="L223" s="160" t="s">
        <v>1057</v>
      </c>
      <c r="M223" s="160" t="s">
        <v>1457</v>
      </c>
      <c r="N223" s="160" t="s">
        <v>804</v>
      </c>
      <c r="O223" s="160" t="s">
        <v>1104</v>
      </c>
      <c r="P223" s="160" t="s">
        <v>1108</v>
      </c>
      <c r="Q223" s="160" t="str">
        <f>CONCATENATE(25+(FLOOR(Data!E25/2,1)*5)," ft.")</f>
        <v>25 ft.</v>
      </c>
      <c r="R223" s="162" t="s">
        <v>1458</v>
      </c>
      <c r="S223" s="160" t="str">
        <f>CONCATENATE(Data!E25," days or until dis. [D]")</f>
        <v>1 days or until dis. [D]</v>
      </c>
      <c r="T223" s="160" t="s">
        <v>1141</v>
      </c>
      <c r="U223" s="160" t="s">
        <v>805</v>
      </c>
      <c r="V223" s="160" t="s">
        <v>1057</v>
      </c>
    </row>
    <row r="224" spans="2:22" ht="11.25">
      <c r="B224" s="161" t="s">
        <v>1057</v>
      </c>
      <c r="C224" s="161" t="s">
        <v>1057</v>
      </c>
      <c r="D224" s="161">
        <v>6</v>
      </c>
      <c r="E224" s="161" t="s">
        <v>1057</v>
      </c>
      <c r="F224" s="161">
        <v>6</v>
      </c>
      <c r="G224" s="161" t="s">
        <v>1057</v>
      </c>
      <c r="H224" s="161" t="s">
        <v>1057</v>
      </c>
      <c r="I224" s="161" t="s">
        <v>1057</v>
      </c>
      <c r="J224" s="161">
        <v>6</v>
      </c>
      <c r="K224" s="161">
        <v>6</v>
      </c>
      <c r="L224" s="160" t="s">
        <v>1057</v>
      </c>
      <c r="M224" s="160" t="s">
        <v>1459</v>
      </c>
      <c r="N224" s="160" t="s">
        <v>804</v>
      </c>
      <c r="O224" s="160" t="s">
        <v>1104</v>
      </c>
      <c r="P224" s="160" t="s">
        <v>1118</v>
      </c>
      <c r="Q224" s="160" t="str">
        <f>CONCATENATE(25+(FLOOR(Data!E25/2,1)*5)," ft.")</f>
        <v>25 ft.</v>
      </c>
      <c r="R224" s="162" t="s">
        <v>1156</v>
      </c>
      <c r="S224" s="160" t="str">
        <f>CONCATENATE(Data!E25," days or until dis. [D]")</f>
        <v>1 days or until dis. [D]</v>
      </c>
      <c r="T224" s="160" t="s">
        <v>1061</v>
      </c>
      <c r="U224" s="160" t="s">
        <v>805</v>
      </c>
      <c r="V224" s="160" t="s">
        <v>1057</v>
      </c>
    </row>
    <row r="225" spans="2:22" ht="11.25">
      <c r="B225" s="161" t="s">
        <v>1057</v>
      </c>
      <c r="C225" s="161" t="s">
        <v>1057</v>
      </c>
      <c r="D225" s="161" t="s">
        <v>1057</v>
      </c>
      <c r="E225" s="161" t="s">
        <v>1057</v>
      </c>
      <c r="F225" s="161" t="s">
        <v>1057</v>
      </c>
      <c r="G225" s="161" t="s">
        <v>1057</v>
      </c>
      <c r="H225" s="161" t="s">
        <v>1057</v>
      </c>
      <c r="I225" s="161" t="s">
        <v>1057</v>
      </c>
      <c r="J225" s="161">
        <v>1</v>
      </c>
      <c r="K225" s="161">
        <v>1</v>
      </c>
      <c r="L225" s="160" t="s">
        <v>1057</v>
      </c>
      <c r="M225" s="160" t="s">
        <v>144</v>
      </c>
      <c r="N225" s="160" t="s">
        <v>815</v>
      </c>
      <c r="O225" s="160" t="s">
        <v>1086</v>
      </c>
      <c r="P225" s="160" t="s">
        <v>1059</v>
      </c>
      <c r="Q225" s="160" t="s">
        <v>799</v>
      </c>
      <c r="R225" s="162" t="s">
        <v>1152</v>
      </c>
      <c r="S225" s="160" t="str">
        <f>CONCATENATE(Data!E25," hours [D]")</f>
        <v>1 hours [D]</v>
      </c>
      <c r="T225" s="160" t="s">
        <v>1153</v>
      </c>
      <c r="U225" s="160" t="s">
        <v>801</v>
      </c>
      <c r="V225" s="160" t="s">
        <v>1057</v>
      </c>
    </row>
    <row r="226" spans="2:22" ht="11.25">
      <c r="B226" s="161" t="s">
        <v>1057</v>
      </c>
      <c r="C226" s="161" t="s">
        <v>1057</v>
      </c>
      <c r="D226" s="161">
        <v>1</v>
      </c>
      <c r="E226" s="161" t="s">
        <v>1057</v>
      </c>
      <c r="F226" s="161" t="s">
        <v>1057</v>
      </c>
      <c r="G226" s="161" t="s">
        <v>1057</v>
      </c>
      <c r="H226" s="161" t="s">
        <v>1057</v>
      </c>
      <c r="I226" s="161" t="s">
        <v>1057</v>
      </c>
      <c r="J226" s="161">
        <v>1</v>
      </c>
      <c r="K226" s="161">
        <v>1</v>
      </c>
      <c r="L226" s="160" t="s">
        <v>159</v>
      </c>
      <c r="M226" s="160" t="s">
        <v>158</v>
      </c>
      <c r="N226" s="160" t="s">
        <v>1179</v>
      </c>
      <c r="O226" s="160" t="s">
        <v>1086</v>
      </c>
      <c r="P226" s="160" t="s">
        <v>1059</v>
      </c>
      <c r="Q226" s="160" t="s">
        <v>799</v>
      </c>
      <c r="R226" s="162" t="str">
        <f>CONCATENATE("Target: One touched object weighing up to ",Data!E25*50," lbs")</f>
        <v>Target: One touched object weighing up to 50 lbs</v>
      </c>
      <c r="S226" s="160" t="str">
        <f>CONCATENATE(Data!E25," days [D]")</f>
        <v>1 days [D]</v>
      </c>
      <c r="T226" s="160" t="s">
        <v>1087</v>
      </c>
      <c r="U226" s="160" t="s">
        <v>801</v>
      </c>
      <c r="V226" s="160" t="s">
        <v>1057</v>
      </c>
    </row>
    <row r="227" spans="2:22" ht="11.25">
      <c r="B227" s="161" t="s">
        <v>1057</v>
      </c>
      <c r="C227" s="161" t="s">
        <v>1057</v>
      </c>
      <c r="D227" s="161" t="s">
        <v>1057</v>
      </c>
      <c r="E227" s="161" t="s">
        <v>1057</v>
      </c>
      <c r="F227" s="161" t="s">
        <v>1057</v>
      </c>
      <c r="G227" s="161" t="s">
        <v>1057</v>
      </c>
      <c r="H227" s="161" t="s">
        <v>1057</v>
      </c>
      <c r="I227" s="161" t="s">
        <v>1057</v>
      </c>
      <c r="J227" s="161">
        <v>1</v>
      </c>
      <c r="K227" s="161">
        <v>1</v>
      </c>
      <c r="L227" s="160" t="s">
        <v>1057</v>
      </c>
      <c r="M227" s="160" t="s">
        <v>168</v>
      </c>
      <c r="N227" s="160" t="s">
        <v>1162</v>
      </c>
      <c r="O227" s="160" t="s">
        <v>1067</v>
      </c>
      <c r="P227" s="160" t="s">
        <v>1059</v>
      </c>
      <c r="Q227" s="160" t="str">
        <f>CONCATENATE(100+(10*Data!E25)," ft.")</f>
        <v>110 ft.</v>
      </c>
      <c r="R227" s="162" t="str">
        <f>CONCATENATE("Targets: ",IF(FLOOR(Data!E25/2,1)&gt;5,5,FLOOR(Data!E25/2,1))," creatures, within 15 ft. of each other")</f>
        <v>Targets: 0 creatures, within 15 ft. of each other</v>
      </c>
      <c r="S227" s="160" t="s">
        <v>1069</v>
      </c>
      <c r="T227" s="160" t="s">
        <v>1061</v>
      </c>
      <c r="U227" s="160" t="s">
        <v>805</v>
      </c>
      <c r="V227" s="160" t="s">
        <v>1057</v>
      </c>
    </row>
    <row r="228" spans="2:22" ht="11.25">
      <c r="B228" s="161" t="s">
        <v>1057</v>
      </c>
      <c r="C228" s="161" t="s">
        <v>1057</v>
      </c>
      <c r="D228" s="161" t="s">
        <v>1057</v>
      </c>
      <c r="E228" s="161" t="s">
        <v>1057</v>
      </c>
      <c r="F228" s="161">
        <v>4</v>
      </c>
      <c r="G228" s="161">
        <v>4</v>
      </c>
      <c r="H228" s="161" t="s">
        <v>1057</v>
      </c>
      <c r="I228" s="161" t="s">
        <v>1057</v>
      </c>
      <c r="J228" s="161" t="s">
        <v>1057</v>
      </c>
      <c r="K228" s="161" t="s">
        <v>1057</v>
      </c>
      <c r="L228" s="160" t="s">
        <v>1057</v>
      </c>
      <c r="M228" s="160" t="s">
        <v>923</v>
      </c>
      <c r="N228" s="160" t="s">
        <v>811</v>
      </c>
      <c r="O228" s="160" t="s">
        <v>1071</v>
      </c>
      <c r="P228" s="160" t="s">
        <v>1059</v>
      </c>
      <c r="Q228" s="160" t="str">
        <f>CONCATENATE(25+(FLOOR(Data!E25/2,1)*5)," ft.")</f>
        <v>25 ft.</v>
      </c>
      <c r="R228" s="162" t="s">
        <v>2</v>
      </c>
      <c r="S228" s="160" t="str">
        <f>CONCATENATE(Data!E25," min.")</f>
        <v>1 min.</v>
      </c>
      <c r="T228" s="160" t="s">
        <v>1061</v>
      </c>
      <c r="U228" s="160" t="s">
        <v>805</v>
      </c>
      <c r="V228" s="160" t="s">
        <v>1057</v>
      </c>
    </row>
    <row r="229" spans="2:22" ht="11.25">
      <c r="B229" s="161" t="s">
        <v>1057</v>
      </c>
      <c r="C229" s="161">
        <v>4</v>
      </c>
      <c r="D229" s="161">
        <v>3</v>
      </c>
      <c r="E229" s="161" t="s">
        <v>1057</v>
      </c>
      <c r="F229" s="161" t="s">
        <v>1057</v>
      </c>
      <c r="G229" s="161" t="s">
        <v>1057</v>
      </c>
      <c r="H229" s="161" t="s">
        <v>1057</v>
      </c>
      <c r="I229" s="161" t="s">
        <v>1057</v>
      </c>
      <c r="J229" s="161" t="s">
        <v>1057</v>
      </c>
      <c r="K229" s="161" t="s">
        <v>1057</v>
      </c>
      <c r="L229" s="160" t="s">
        <v>1057</v>
      </c>
      <c r="M229" s="160" t="s">
        <v>3</v>
      </c>
      <c r="N229" s="160" t="s">
        <v>811</v>
      </c>
      <c r="O229" s="160" t="s">
        <v>4</v>
      </c>
      <c r="P229" s="160" t="s">
        <v>1059</v>
      </c>
      <c r="Q229" s="160" t="s">
        <v>817</v>
      </c>
      <c r="R229" s="162" t="s">
        <v>1084</v>
      </c>
      <c r="S229" s="160" t="str">
        <f>CONCATENATE(Data!E25*10," min. [D]")</f>
        <v>10 min. [D]</v>
      </c>
      <c r="T229" s="160" t="s">
        <v>1061</v>
      </c>
      <c r="U229" s="160" t="s">
        <v>801</v>
      </c>
      <c r="V229" s="160" t="s">
        <v>1057</v>
      </c>
    </row>
    <row r="230" spans="2:22" ht="11.25">
      <c r="B230" s="161" t="s">
        <v>1057</v>
      </c>
      <c r="C230" s="161" t="s">
        <v>1057</v>
      </c>
      <c r="D230" s="161" t="s">
        <v>1057</v>
      </c>
      <c r="E230" s="161" t="s">
        <v>1057</v>
      </c>
      <c r="F230" s="161" t="s">
        <v>1057</v>
      </c>
      <c r="G230" s="161" t="s">
        <v>1057</v>
      </c>
      <c r="H230" s="161" t="s">
        <v>1057</v>
      </c>
      <c r="I230" s="161" t="s">
        <v>1057</v>
      </c>
      <c r="J230" s="161">
        <v>1</v>
      </c>
      <c r="K230" s="161">
        <v>1</v>
      </c>
      <c r="L230" s="160" t="s">
        <v>1057</v>
      </c>
      <c r="M230" s="162" t="s">
        <v>243</v>
      </c>
      <c r="N230" s="160" t="s">
        <v>815</v>
      </c>
      <c r="O230" s="160" t="s">
        <v>1091</v>
      </c>
      <c r="P230" s="160" t="s">
        <v>1108</v>
      </c>
      <c r="Q230" s="160" t="str">
        <f>CONCATENATE(25+(FLOOR(Data!E25/2,1)*5)," ft.")</f>
        <v>25 ft.</v>
      </c>
      <c r="R230" s="162" t="s">
        <v>244</v>
      </c>
      <c r="S230" s="160" t="str">
        <f>CONCATENATE(Data!E25*2," hours [D]")</f>
        <v>2 hours [D]</v>
      </c>
      <c r="T230" s="160" t="s">
        <v>1061</v>
      </c>
      <c r="U230" s="160" t="s">
        <v>801</v>
      </c>
      <c r="V230" s="160" t="s">
        <v>1057</v>
      </c>
    </row>
    <row r="231" spans="2:22" ht="11.25">
      <c r="B231" s="161" t="s">
        <v>1057</v>
      </c>
      <c r="C231" s="161" t="s">
        <v>1057</v>
      </c>
      <c r="D231" s="161" t="s">
        <v>1057</v>
      </c>
      <c r="E231" s="161" t="s">
        <v>1057</v>
      </c>
      <c r="F231" s="161" t="s">
        <v>1057</v>
      </c>
      <c r="G231" s="161" t="s">
        <v>1057</v>
      </c>
      <c r="H231" s="161" t="s">
        <v>1057</v>
      </c>
      <c r="I231" s="161" t="s">
        <v>1057</v>
      </c>
      <c r="J231" s="161">
        <v>6</v>
      </c>
      <c r="K231" s="161">
        <v>6</v>
      </c>
      <c r="L231" s="160" t="s">
        <v>1057</v>
      </c>
      <c r="M231" s="160" t="s">
        <v>7</v>
      </c>
      <c r="N231" s="160" t="s">
        <v>845</v>
      </c>
      <c r="O231" s="160" t="s">
        <v>1091</v>
      </c>
      <c r="P231" s="160" t="s">
        <v>1059</v>
      </c>
      <c r="Q231" s="160" t="s">
        <v>1109</v>
      </c>
      <c r="R231" s="162" t="s">
        <v>8</v>
      </c>
      <c r="S231" s="160" t="str">
        <f>CONCATENATE(Data!E25," rnds [D]")</f>
        <v>1 rnds [D]</v>
      </c>
      <c r="T231" s="160" t="s">
        <v>1061</v>
      </c>
      <c r="U231" s="160" t="s">
        <v>801</v>
      </c>
      <c r="V231" s="160" t="s">
        <v>1057</v>
      </c>
    </row>
    <row r="232" spans="2:22" ht="11.25">
      <c r="B232" s="161" t="s">
        <v>1057</v>
      </c>
      <c r="C232" s="161" t="s">
        <v>1057</v>
      </c>
      <c r="D232" s="161" t="s">
        <v>1057</v>
      </c>
      <c r="E232" s="161" t="s">
        <v>1057</v>
      </c>
      <c r="F232" s="161" t="s">
        <v>1057</v>
      </c>
      <c r="G232" s="161" t="s">
        <v>1057</v>
      </c>
      <c r="H232" s="161" t="s">
        <v>1057</v>
      </c>
      <c r="I232" s="161" t="s">
        <v>1057</v>
      </c>
      <c r="J232" s="161">
        <v>4</v>
      </c>
      <c r="K232" s="161">
        <v>4</v>
      </c>
      <c r="L232" s="160" t="s">
        <v>1057</v>
      </c>
      <c r="M232" s="164" t="s">
        <v>9</v>
      </c>
      <c r="N232" s="160" t="s">
        <v>845</v>
      </c>
      <c r="O232" s="160" t="s">
        <v>1091</v>
      </c>
      <c r="P232" s="160" t="s">
        <v>1059</v>
      </c>
      <c r="Q232" s="160" t="s">
        <v>1109</v>
      </c>
      <c r="R232" s="162" t="s">
        <v>8</v>
      </c>
      <c r="S232" s="160" t="str">
        <f>CONCATENATE(Data!E25," rnds [D]")</f>
        <v>1 rnds [D]</v>
      </c>
      <c r="T232" s="160" t="s">
        <v>1061</v>
      </c>
      <c r="U232" s="160" t="s">
        <v>801</v>
      </c>
      <c r="V232" s="160" t="s">
        <v>1057</v>
      </c>
    </row>
    <row r="233" spans="2:22" ht="11.25">
      <c r="B233" s="161" t="s">
        <v>1057</v>
      </c>
      <c r="C233" s="161" t="s">
        <v>1057</v>
      </c>
      <c r="D233" s="161" t="s">
        <v>1057</v>
      </c>
      <c r="E233" s="161" t="s">
        <v>1057</v>
      </c>
      <c r="F233" s="161">
        <v>3</v>
      </c>
      <c r="G233" s="161" t="s">
        <v>1057</v>
      </c>
      <c r="H233" s="161" t="s">
        <v>1057</v>
      </c>
      <c r="I233" s="161" t="s">
        <v>1057</v>
      </c>
      <c r="J233" s="161" t="s">
        <v>1057</v>
      </c>
      <c r="K233" s="161" t="s">
        <v>1057</v>
      </c>
      <c r="L233" s="160" t="s">
        <v>1057</v>
      </c>
      <c r="M233" s="160" t="s">
        <v>889</v>
      </c>
      <c r="N233" s="160" t="s">
        <v>845</v>
      </c>
      <c r="O233" s="160" t="s">
        <v>1091</v>
      </c>
      <c r="P233" s="160" t="s">
        <v>1118</v>
      </c>
      <c r="Q233" s="160" t="s">
        <v>799</v>
      </c>
      <c r="R233" s="162" t="str">
        <f>CONCATENATE("Target or Area: Object touched or up to ",Data!E25*50," sq. ft")</f>
        <v>Target or Area: Object touched or up to 50 sq. ft</v>
      </c>
      <c r="S233" s="160" t="s">
        <v>1391</v>
      </c>
      <c r="T233" s="160" t="s">
        <v>1087</v>
      </c>
      <c r="U233" s="160" t="s">
        <v>1087</v>
      </c>
      <c r="V233" s="160" t="s">
        <v>10</v>
      </c>
    </row>
    <row r="234" spans="2:22" ht="11.25">
      <c r="B234" s="161" t="s">
        <v>1057</v>
      </c>
      <c r="C234" s="161" t="s">
        <v>1057</v>
      </c>
      <c r="D234" s="161" t="s">
        <v>1057</v>
      </c>
      <c r="E234" s="161" t="s">
        <v>1057</v>
      </c>
      <c r="F234" s="161">
        <v>6</v>
      </c>
      <c r="G234" s="161" t="s">
        <v>1057</v>
      </c>
      <c r="H234" s="161" t="s">
        <v>1057</v>
      </c>
      <c r="I234" s="161" t="s">
        <v>1057</v>
      </c>
      <c r="J234" s="161" t="s">
        <v>1057</v>
      </c>
      <c r="K234" s="161" t="s">
        <v>1057</v>
      </c>
      <c r="L234" s="160" t="s">
        <v>1057</v>
      </c>
      <c r="M234" s="160" t="s">
        <v>11</v>
      </c>
      <c r="N234" s="160" t="s">
        <v>845</v>
      </c>
      <c r="O234" s="160" t="s">
        <v>1091</v>
      </c>
      <c r="P234" s="160" t="s">
        <v>1118</v>
      </c>
      <c r="Q234" s="160" t="s">
        <v>799</v>
      </c>
      <c r="R234" s="162" t="str">
        <f>CONCATENATE("Target or Area: Object touched or up to ",Data!E25*50," sq. ft")</f>
        <v>Target or Area: Object touched or up to 50 sq. ft</v>
      </c>
      <c r="S234" s="160" t="s">
        <v>1391</v>
      </c>
      <c r="T234" s="160" t="s">
        <v>1087</v>
      </c>
      <c r="U234" s="160" t="s">
        <v>1087</v>
      </c>
      <c r="V234" s="160" t="s">
        <v>12</v>
      </c>
    </row>
    <row r="235" spans="2:22" ht="11.25">
      <c r="B235" s="161" t="s">
        <v>1057</v>
      </c>
      <c r="C235" s="161" t="s">
        <v>1057</v>
      </c>
      <c r="D235" s="161">
        <v>3</v>
      </c>
      <c r="E235" s="161" t="s">
        <v>1057</v>
      </c>
      <c r="F235" s="161" t="s">
        <v>1057</v>
      </c>
      <c r="G235" s="161" t="s">
        <v>1057</v>
      </c>
      <c r="H235" s="161" t="s">
        <v>1057</v>
      </c>
      <c r="I235" s="161" t="s">
        <v>1057</v>
      </c>
      <c r="J235" s="161" t="s">
        <v>1057</v>
      </c>
      <c r="K235" s="161" t="s">
        <v>1057</v>
      </c>
      <c r="L235" s="160" t="s">
        <v>1057</v>
      </c>
      <c r="M235" s="160" t="s">
        <v>13</v>
      </c>
      <c r="N235" s="160" t="s">
        <v>804</v>
      </c>
      <c r="O235" s="160" t="s">
        <v>1067</v>
      </c>
      <c r="P235" s="160" t="s">
        <v>1059</v>
      </c>
      <c r="Q235" s="160" t="str">
        <f>CONCATENATE(100+(10*Data!E25)," ft.")</f>
        <v>110 ft.</v>
      </c>
      <c r="R235" s="162" t="str">
        <f>CONCATENATE("Targets: ",Data!E25," living creatures within 30 ft. of each other")</f>
        <v>Targets: 1 living creatures within 30 ft. of each other</v>
      </c>
      <c r="S235" s="160" t="str">
        <f>CONCATENATE(Data!E25," min.")</f>
        <v>1 min.</v>
      </c>
      <c r="T235" s="160" t="s">
        <v>1153</v>
      </c>
      <c r="U235" s="160" t="s">
        <v>1073</v>
      </c>
      <c r="V235" s="160" t="s">
        <v>1057</v>
      </c>
    </row>
    <row r="236" spans="2:22" ht="11.25">
      <c r="B236" s="161" t="s">
        <v>1057</v>
      </c>
      <c r="C236" s="161" t="s">
        <v>1057</v>
      </c>
      <c r="D236" s="161" t="s">
        <v>1057</v>
      </c>
      <c r="E236" s="161" t="s">
        <v>1057</v>
      </c>
      <c r="F236" s="161" t="s">
        <v>1057</v>
      </c>
      <c r="G236" s="161">
        <v>1</v>
      </c>
      <c r="H236" s="161" t="s">
        <v>1057</v>
      </c>
      <c r="I236" s="161" t="s">
        <v>1057</v>
      </c>
      <c r="J236" s="161" t="s">
        <v>1057</v>
      </c>
      <c r="K236" s="161" t="s">
        <v>1057</v>
      </c>
      <c r="L236" s="160" t="s">
        <v>1057</v>
      </c>
      <c r="M236" s="160" t="s">
        <v>14</v>
      </c>
      <c r="N236" s="160" t="s">
        <v>811</v>
      </c>
      <c r="O236" s="160" t="s">
        <v>1071</v>
      </c>
      <c r="P236" s="160" t="s">
        <v>1059</v>
      </c>
      <c r="Q236" s="160" t="s">
        <v>799</v>
      </c>
      <c r="R236" s="162" t="s">
        <v>15</v>
      </c>
      <c r="S236" s="160" t="str">
        <f>CONCATENATE(Data!E25," days")</f>
        <v>1 days</v>
      </c>
      <c r="T236" s="160" t="s">
        <v>1061</v>
      </c>
      <c r="U236" s="160" t="s">
        <v>805</v>
      </c>
      <c r="V236" s="160" t="s">
        <v>1057</v>
      </c>
    </row>
    <row r="237" spans="2:22" ht="11.25">
      <c r="B237" s="161" t="s">
        <v>1057</v>
      </c>
      <c r="C237" s="161" t="s">
        <v>1057</v>
      </c>
      <c r="D237" s="161" t="s">
        <v>1057</v>
      </c>
      <c r="E237" s="161" t="s">
        <v>1057</v>
      </c>
      <c r="F237" s="161" t="s">
        <v>1057</v>
      </c>
      <c r="G237" s="161" t="s">
        <v>1057</v>
      </c>
      <c r="H237" s="161" t="s">
        <v>1057</v>
      </c>
      <c r="I237" s="161" t="s">
        <v>1057</v>
      </c>
      <c r="J237" s="161">
        <v>7</v>
      </c>
      <c r="K237" s="161">
        <v>7</v>
      </c>
      <c r="L237" s="160" t="s">
        <v>17</v>
      </c>
      <c r="M237" s="160" t="s">
        <v>16</v>
      </c>
      <c r="N237" s="160" t="s">
        <v>1162</v>
      </c>
      <c r="O237" s="160" t="s">
        <v>1077</v>
      </c>
      <c r="P237" s="160" t="s">
        <v>1059</v>
      </c>
      <c r="Q237" s="160" t="str">
        <f>CONCATENATE(100+(10*Data!E25)," ft.")</f>
        <v>110 ft.</v>
      </c>
      <c r="R237" s="162" t="s">
        <v>1225</v>
      </c>
      <c r="S237" s="160" t="str">
        <f>CONCATENATE(Data!E25," rnds [D]")</f>
        <v>1 rnds [D]</v>
      </c>
      <c r="T237" s="160" t="s">
        <v>1061</v>
      </c>
      <c r="U237" s="160" t="s">
        <v>805</v>
      </c>
      <c r="V237" s="160" t="s">
        <v>1057</v>
      </c>
    </row>
    <row r="238" spans="2:22" ht="11.25">
      <c r="B238" s="161" t="s">
        <v>1057</v>
      </c>
      <c r="C238" s="161" t="s">
        <v>1057</v>
      </c>
      <c r="D238" s="161" t="s">
        <v>1057</v>
      </c>
      <c r="E238" s="161" t="s">
        <v>1057</v>
      </c>
      <c r="F238" s="161" t="s">
        <v>1057</v>
      </c>
      <c r="G238" s="161" t="s">
        <v>1057</v>
      </c>
      <c r="H238" s="161" t="s">
        <v>1057</v>
      </c>
      <c r="I238" s="161" t="s">
        <v>1057</v>
      </c>
      <c r="J238" s="161">
        <v>1</v>
      </c>
      <c r="K238" s="161">
        <v>1</v>
      </c>
      <c r="L238" s="160" t="s">
        <v>1057</v>
      </c>
      <c r="M238" s="160" t="s">
        <v>345</v>
      </c>
      <c r="N238" s="160" t="s">
        <v>826</v>
      </c>
      <c r="O238" s="160" t="s">
        <v>1067</v>
      </c>
      <c r="P238" s="160" t="s">
        <v>1059</v>
      </c>
      <c r="Q238" s="160" t="str">
        <f>CONCATENATE(25+(FLOOR(Data!E25/2,1)*5)," ft.")</f>
        <v>25 ft.</v>
      </c>
      <c r="R238" s="162" t="s">
        <v>1326</v>
      </c>
      <c r="S238" s="160" t="str">
        <f>CONCATENATE(Data!E25," min.")</f>
        <v>1 min.</v>
      </c>
      <c r="T238" s="160" t="s">
        <v>1061</v>
      </c>
      <c r="U238" s="160" t="s">
        <v>805</v>
      </c>
      <c r="V238" s="160" t="s">
        <v>1057</v>
      </c>
    </row>
    <row r="239" spans="2:22" ht="11.25">
      <c r="B239" s="161" t="s">
        <v>1057</v>
      </c>
      <c r="C239" s="161" t="s">
        <v>1057</v>
      </c>
      <c r="D239" s="161" t="s">
        <v>1057</v>
      </c>
      <c r="E239" s="161" t="s">
        <v>1057</v>
      </c>
      <c r="F239" s="161" t="s">
        <v>1057</v>
      </c>
      <c r="G239" s="161" t="s">
        <v>1057</v>
      </c>
      <c r="H239" s="161" t="s">
        <v>1057</v>
      </c>
      <c r="I239" s="161" t="s">
        <v>1057</v>
      </c>
      <c r="J239" s="161">
        <v>6</v>
      </c>
      <c r="K239" s="161">
        <v>6</v>
      </c>
      <c r="L239" s="160" t="s">
        <v>1057</v>
      </c>
      <c r="M239" s="160" t="s">
        <v>20</v>
      </c>
      <c r="N239" s="160" t="s">
        <v>845</v>
      </c>
      <c r="O239" s="160" t="s">
        <v>1058</v>
      </c>
      <c r="P239" s="160" t="s">
        <v>1130</v>
      </c>
      <c r="Q239" s="160" t="s">
        <v>1087</v>
      </c>
      <c r="R239" s="162" t="str">
        <f>CONCATENATE("Area: Up to ",Data!E25*200," sq. ft (S)")</f>
        <v>Area: Up to 200 sq. ft (S)</v>
      </c>
      <c r="S239" s="160" t="str">
        <f>CONCATENATE(Data!E25*2," hours [D]")</f>
        <v>2 hours [D]</v>
      </c>
      <c r="T239" s="160" t="s">
        <v>1087</v>
      </c>
      <c r="U239" s="160" t="s">
        <v>1087</v>
      </c>
      <c r="V239" s="160" t="s">
        <v>1057</v>
      </c>
    </row>
    <row r="240" spans="2:22" ht="11.25">
      <c r="B240" s="161" t="s">
        <v>1057</v>
      </c>
      <c r="C240" s="161" t="s">
        <v>1057</v>
      </c>
      <c r="D240" s="161" t="s">
        <v>1057</v>
      </c>
      <c r="E240" s="161" t="s">
        <v>1057</v>
      </c>
      <c r="F240" s="161" t="s">
        <v>1057</v>
      </c>
      <c r="G240" s="161" t="s">
        <v>1057</v>
      </c>
      <c r="H240" s="161" t="s">
        <v>1057</v>
      </c>
      <c r="I240" s="161" t="s">
        <v>1057</v>
      </c>
      <c r="J240" s="161">
        <v>1</v>
      </c>
      <c r="K240" s="161">
        <v>1</v>
      </c>
      <c r="L240" s="160" t="s">
        <v>1057</v>
      </c>
      <c r="M240" s="160" t="s">
        <v>349</v>
      </c>
      <c r="N240" s="160" t="s">
        <v>811</v>
      </c>
      <c r="O240" s="160" t="s">
        <v>1091</v>
      </c>
      <c r="P240" s="160" t="s">
        <v>1108</v>
      </c>
      <c r="Q240" s="160" t="str">
        <f>CONCATENATE(25+(FLOOR(Data!E25/2,1)*5)," ft.")</f>
        <v>25 ft.</v>
      </c>
      <c r="R240" s="162" t="s">
        <v>1214</v>
      </c>
      <c r="S240" s="160" t="str">
        <f>CONCATENATE(Data!E25," min. [D]")</f>
        <v>1 min. [D]</v>
      </c>
      <c r="T240" s="160" t="s">
        <v>1090</v>
      </c>
      <c r="U240" s="160" t="s">
        <v>805</v>
      </c>
      <c r="V240" s="160" t="s">
        <v>1057</v>
      </c>
    </row>
    <row r="241" spans="2:22" ht="11.25">
      <c r="B241" s="161" t="s">
        <v>1057</v>
      </c>
      <c r="C241" s="161" t="s">
        <v>1057</v>
      </c>
      <c r="D241" s="161" t="s">
        <v>1057</v>
      </c>
      <c r="E241" s="161" t="s">
        <v>1057</v>
      </c>
      <c r="F241" s="161" t="s">
        <v>1057</v>
      </c>
      <c r="G241" s="161" t="s">
        <v>1057</v>
      </c>
      <c r="H241" s="161" t="s">
        <v>1057</v>
      </c>
      <c r="I241" s="161" t="s">
        <v>1057</v>
      </c>
      <c r="J241" s="161">
        <v>1</v>
      </c>
      <c r="K241" s="161">
        <v>1</v>
      </c>
      <c r="L241" s="160" t="s">
        <v>1057</v>
      </c>
      <c r="M241" s="160" t="s">
        <v>1017</v>
      </c>
      <c r="N241" s="160" t="s">
        <v>845</v>
      </c>
      <c r="O241" s="160" t="s">
        <v>1067</v>
      </c>
      <c r="P241" s="160" t="s">
        <v>1059</v>
      </c>
      <c r="Q241" s="160" t="s">
        <v>817</v>
      </c>
      <c r="R241" s="162" t="s">
        <v>1084</v>
      </c>
      <c r="S241" s="160" t="str">
        <f>CONCATENATE(Data!E25," min. [D]")</f>
        <v>1 min. [D]</v>
      </c>
      <c r="T241" s="160" t="s">
        <v>1061</v>
      </c>
      <c r="U241" s="160" t="s">
        <v>801</v>
      </c>
      <c r="V241" s="160" t="s">
        <v>1057</v>
      </c>
    </row>
    <row r="242" spans="2:22" ht="11.25">
      <c r="B242" s="161" t="s">
        <v>1057</v>
      </c>
      <c r="C242" s="161" t="s">
        <v>1057</v>
      </c>
      <c r="D242" s="161" t="s">
        <v>1057</v>
      </c>
      <c r="E242" s="161" t="s">
        <v>1057</v>
      </c>
      <c r="F242" s="161">
        <v>5</v>
      </c>
      <c r="G242" s="161">
        <v>5</v>
      </c>
      <c r="H242" s="161" t="s">
        <v>1057</v>
      </c>
      <c r="I242" s="161" t="s">
        <v>1057</v>
      </c>
      <c r="J242" s="161" t="s">
        <v>1057</v>
      </c>
      <c r="K242" s="161" t="s">
        <v>1057</v>
      </c>
      <c r="L242" s="160" t="s">
        <v>1057</v>
      </c>
      <c r="M242" s="160" t="s">
        <v>23</v>
      </c>
      <c r="N242" s="160" t="s">
        <v>1162</v>
      </c>
      <c r="O242" s="160" t="s">
        <v>1251</v>
      </c>
      <c r="P242" s="160" t="s">
        <v>1139</v>
      </c>
      <c r="Q242" s="160" t="s">
        <v>799</v>
      </c>
      <c r="R242" s="162" t="s">
        <v>24</v>
      </c>
      <c r="S242" s="160" t="s">
        <v>1069</v>
      </c>
      <c r="T242" s="160" t="s">
        <v>1087</v>
      </c>
      <c r="U242" s="160" t="s">
        <v>1087</v>
      </c>
      <c r="V242" s="160" t="s">
        <v>1057</v>
      </c>
    </row>
    <row r="243" spans="2:22" ht="11.25">
      <c r="B243" s="161" t="s">
        <v>1057</v>
      </c>
      <c r="C243" s="161" t="s">
        <v>1057</v>
      </c>
      <c r="D243" s="161">
        <v>4</v>
      </c>
      <c r="E243" s="161" t="s">
        <v>1057</v>
      </c>
      <c r="F243" s="161" t="s">
        <v>1057</v>
      </c>
      <c r="G243" s="161" t="s">
        <v>1057</v>
      </c>
      <c r="H243" s="161" t="s">
        <v>1057</v>
      </c>
      <c r="I243" s="161" t="s">
        <v>1057</v>
      </c>
      <c r="J243" s="161">
        <v>4</v>
      </c>
      <c r="K243" s="161">
        <v>4</v>
      </c>
      <c r="L243" s="160" t="s">
        <v>1057</v>
      </c>
      <c r="M243" s="160" t="s">
        <v>25</v>
      </c>
      <c r="N243" s="160" t="s">
        <v>1179</v>
      </c>
      <c r="O243" s="160" t="s">
        <v>1091</v>
      </c>
      <c r="P243" s="160" t="s">
        <v>1118</v>
      </c>
      <c r="Q243" s="160" t="str">
        <f>CONCATENATE(400+(40*Data!E25)," ft.")</f>
        <v>440 ft.</v>
      </c>
      <c r="R243" s="162" t="str">
        <f>CONCATENATE("Area: ",Data!E25," 30-ft. cubes (S)")</f>
        <v>Area: 1 30-ft. cubes (S)</v>
      </c>
      <c r="S243" s="160" t="str">
        <f>CONCATENATE(Data!E25*2," hours [D]")</f>
        <v>2 hours [D]</v>
      </c>
      <c r="T243" s="160" t="s">
        <v>1462</v>
      </c>
      <c r="U243" s="160" t="s">
        <v>801</v>
      </c>
      <c r="V243" s="160" t="s">
        <v>1057</v>
      </c>
    </row>
    <row r="244" spans="2:22" ht="11.25">
      <c r="B244" s="161" t="s">
        <v>1057</v>
      </c>
      <c r="C244" s="161" t="s">
        <v>1057</v>
      </c>
      <c r="D244" s="161" t="s">
        <v>1057</v>
      </c>
      <c r="E244" s="161" t="s">
        <v>1057</v>
      </c>
      <c r="F244" s="161" t="s">
        <v>1057</v>
      </c>
      <c r="G244" s="161" t="s">
        <v>1057</v>
      </c>
      <c r="H244" s="161" t="s">
        <v>1057</v>
      </c>
      <c r="I244" s="161" t="s">
        <v>1057</v>
      </c>
      <c r="J244" s="161">
        <v>3</v>
      </c>
      <c r="K244" s="161">
        <v>3</v>
      </c>
      <c r="L244" s="160" t="s">
        <v>1057</v>
      </c>
      <c r="M244" s="160" t="s">
        <v>26</v>
      </c>
      <c r="N244" s="160" t="s">
        <v>826</v>
      </c>
      <c r="O244" s="160" t="s">
        <v>1091</v>
      </c>
      <c r="P244" s="160" t="s">
        <v>1059</v>
      </c>
      <c r="Q244" s="160" t="str">
        <f>CONCATENATE(100+(10*Data!E25)," ft.")</f>
        <v>110 ft.</v>
      </c>
      <c r="R244" s="162" t="str">
        <f>CONCATENATE("Targets: Up to ",Data!E25*3," undead creatures within 30 ft. of each other")</f>
        <v>Targets: Up to 3 undead creatures within 30 ft. of each other</v>
      </c>
      <c r="S244" s="160" t="str">
        <f>CONCATENATE(Data!E25," rnds")</f>
        <v>1 rnds</v>
      </c>
      <c r="T244" s="160" t="s">
        <v>1087</v>
      </c>
      <c r="U244" s="160" t="s">
        <v>805</v>
      </c>
      <c r="V244" s="160" t="s">
        <v>1057</v>
      </c>
    </row>
    <row r="245" spans="2:22" ht="11.25">
      <c r="B245" s="161" t="s">
        <v>1057</v>
      </c>
      <c r="C245" s="161" t="s">
        <v>1057</v>
      </c>
      <c r="D245" s="161" t="s">
        <v>1057</v>
      </c>
      <c r="E245" s="161" t="s">
        <v>1057</v>
      </c>
      <c r="F245" s="161">
        <v>6</v>
      </c>
      <c r="G245" s="161" t="s">
        <v>1057</v>
      </c>
      <c r="H245" s="161" t="s">
        <v>1057</v>
      </c>
      <c r="I245" s="161" t="s">
        <v>1057</v>
      </c>
      <c r="J245" s="161" t="s">
        <v>1057</v>
      </c>
      <c r="K245" s="161" t="s">
        <v>1057</v>
      </c>
      <c r="L245" s="160" t="s">
        <v>28</v>
      </c>
      <c r="M245" s="160" t="s">
        <v>27</v>
      </c>
      <c r="N245" s="160" t="s">
        <v>826</v>
      </c>
      <c r="O245" s="160" t="s">
        <v>1067</v>
      </c>
      <c r="P245" s="160" t="s">
        <v>1059</v>
      </c>
      <c r="Q245" s="160" t="s">
        <v>799</v>
      </c>
      <c r="R245" s="162" t="s">
        <v>1152</v>
      </c>
      <c r="S245" s="160" t="s">
        <v>1069</v>
      </c>
      <c r="T245" s="160" t="s">
        <v>1087</v>
      </c>
      <c r="U245" s="160" t="s">
        <v>805</v>
      </c>
      <c r="V245" s="160" t="s">
        <v>1057</v>
      </c>
    </row>
    <row r="246" spans="2:22" ht="11.25">
      <c r="B246" s="161" t="s">
        <v>1057</v>
      </c>
      <c r="C246" s="161" t="s">
        <v>1057</v>
      </c>
      <c r="D246" s="161">
        <v>3</v>
      </c>
      <c r="E246" s="161" t="s">
        <v>1057</v>
      </c>
      <c r="F246" s="161" t="s">
        <v>1057</v>
      </c>
      <c r="G246" s="161" t="s">
        <v>1057</v>
      </c>
      <c r="H246" s="161" t="s">
        <v>1057</v>
      </c>
      <c r="I246" s="161" t="s">
        <v>1057</v>
      </c>
      <c r="J246" s="161">
        <v>3</v>
      </c>
      <c r="K246" s="161">
        <v>3</v>
      </c>
      <c r="L246" s="160" t="s">
        <v>1057</v>
      </c>
      <c r="M246" s="160" t="s">
        <v>29</v>
      </c>
      <c r="N246" s="160" t="s">
        <v>811</v>
      </c>
      <c r="O246" s="160" t="s">
        <v>1091</v>
      </c>
      <c r="P246" s="160" t="s">
        <v>1059</v>
      </c>
      <c r="Q246" s="160" t="str">
        <f>CONCATENATE(25+(FLOOR(Data!E25/2,1)*5)," ft.")</f>
        <v>25 ft.</v>
      </c>
      <c r="R246" s="162" t="str">
        <f>CONCATENATE("Targets: ",Data!E25," creatures within 30 ft. of each other")</f>
        <v>Targets: 1 creatures within 30 ft. of each other</v>
      </c>
      <c r="S246" s="160" t="str">
        <f>CONCATENATE(Data!E25," rnds")</f>
        <v>1 rnds</v>
      </c>
      <c r="T246" s="160" t="s">
        <v>1300</v>
      </c>
      <c r="U246" s="160" t="s">
        <v>1073</v>
      </c>
      <c r="V246" s="160" t="s">
        <v>1057</v>
      </c>
    </row>
    <row r="247" spans="2:22" ht="11.25">
      <c r="B247" s="161">
        <v>5</v>
      </c>
      <c r="C247" s="161" t="s">
        <v>1057</v>
      </c>
      <c r="D247" s="161" t="s">
        <v>1057</v>
      </c>
      <c r="E247" s="161" t="s">
        <v>1057</v>
      </c>
      <c r="F247" s="161">
        <v>6</v>
      </c>
      <c r="G247" s="161">
        <v>7</v>
      </c>
      <c r="H247" s="161" t="s">
        <v>1057</v>
      </c>
      <c r="I247" s="161" t="s">
        <v>1057</v>
      </c>
      <c r="J247" s="161" t="s">
        <v>1057</v>
      </c>
      <c r="L247" s="160" t="s">
        <v>30</v>
      </c>
      <c r="M247" s="160" t="s">
        <v>658</v>
      </c>
      <c r="N247" s="160" t="s">
        <v>815</v>
      </c>
      <c r="O247" s="160" t="s">
        <v>1067</v>
      </c>
      <c r="P247" s="160" t="s">
        <v>1059</v>
      </c>
      <c r="Q247" s="160" t="s">
        <v>799</v>
      </c>
      <c r="R247" s="162" t="s">
        <v>1152</v>
      </c>
      <c r="S247" s="160" t="s">
        <v>1069</v>
      </c>
      <c r="T247" s="160" t="s">
        <v>1153</v>
      </c>
      <c r="U247" s="160" t="s">
        <v>1073</v>
      </c>
      <c r="V247" s="160" t="s">
        <v>1057</v>
      </c>
    </row>
    <row r="248" spans="2:22" ht="11.25">
      <c r="B248" s="161" t="s">
        <v>1057</v>
      </c>
      <c r="C248" s="161" t="s">
        <v>1057</v>
      </c>
      <c r="D248" s="161" t="s">
        <v>1057</v>
      </c>
      <c r="E248" s="161" t="s">
        <v>1057</v>
      </c>
      <c r="F248" s="161" t="s">
        <v>1057</v>
      </c>
      <c r="G248" s="161" t="s">
        <v>1057</v>
      </c>
      <c r="H248" s="161">
        <v>3</v>
      </c>
      <c r="I248" s="161" t="s">
        <v>1057</v>
      </c>
      <c r="J248" s="161" t="s">
        <v>1057</v>
      </c>
      <c r="K248" s="161" t="s">
        <v>1057</v>
      </c>
      <c r="L248" s="160" t="s">
        <v>1057</v>
      </c>
      <c r="M248" s="160" t="s">
        <v>31</v>
      </c>
      <c r="N248" s="160" t="s">
        <v>815</v>
      </c>
      <c r="O248" s="160" t="s">
        <v>1067</v>
      </c>
      <c r="P248" s="160" t="s">
        <v>1059</v>
      </c>
      <c r="Q248" s="160" t="s">
        <v>799</v>
      </c>
      <c r="R248" s="162" t="s">
        <v>32</v>
      </c>
      <c r="S248" s="160" t="s">
        <v>1069</v>
      </c>
      <c r="T248" s="160" t="s">
        <v>1153</v>
      </c>
      <c r="U248" s="160" t="s">
        <v>1073</v>
      </c>
      <c r="V248" s="160" t="s">
        <v>1057</v>
      </c>
    </row>
    <row r="249" spans="2:22" ht="11.25">
      <c r="B249" s="161" t="s">
        <v>1057</v>
      </c>
      <c r="C249" s="161" t="s">
        <v>1057</v>
      </c>
      <c r="D249" s="161" t="s">
        <v>1057</v>
      </c>
      <c r="E249" s="161" t="s">
        <v>1057</v>
      </c>
      <c r="F249" s="161">
        <v>9</v>
      </c>
      <c r="G249" s="161" t="s">
        <v>1057</v>
      </c>
      <c r="H249" s="161" t="s">
        <v>1057</v>
      </c>
      <c r="I249" s="161" t="s">
        <v>1057</v>
      </c>
      <c r="J249" s="161" t="s">
        <v>1057</v>
      </c>
      <c r="K249" s="161" t="s">
        <v>1057</v>
      </c>
      <c r="L249" s="160" t="s">
        <v>34</v>
      </c>
      <c r="M249" s="160" t="s">
        <v>33</v>
      </c>
      <c r="N249" s="160" t="s">
        <v>815</v>
      </c>
      <c r="O249" s="160" t="s">
        <v>1067</v>
      </c>
      <c r="P249" s="160" t="s">
        <v>1059</v>
      </c>
      <c r="Q249" s="160" t="str">
        <f>CONCATENATE(25+(FLOOR(Data!E25/2,1)*5)," ft.")</f>
        <v>25 ft.</v>
      </c>
      <c r="R249" s="162" t="s">
        <v>1212</v>
      </c>
      <c r="S249" s="160" t="s">
        <v>1069</v>
      </c>
      <c r="T249" s="160" t="s">
        <v>1153</v>
      </c>
      <c r="U249" s="160" t="s">
        <v>1073</v>
      </c>
      <c r="V249" s="160" t="s">
        <v>1057</v>
      </c>
    </row>
    <row r="250" spans="2:22" ht="11.25">
      <c r="B250" s="161" t="s">
        <v>1057</v>
      </c>
      <c r="C250" s="161" t="s">
        <v>1057</v>
      </c>
      <c r="D250" s="161" t="s">
        <v>1057</v>
      </c>
      <c r="E250" s="161" t="s">
        <v>1057</v>
      </c>
      <c r="F250" s="161" t="s">
        <v>1057</v>
      </c>
      <c r="G250" s="161">
        <v>2</v>
      </c>
      <c r="H250" s="161" t="s">
        <v>1057</v>
      </c>
      <c r="I250" s="161" t="s">
        <v>1057</v>
      </c>
      <c r="J250" s="161" t="s">
        <v>1057</v>
      </c>
      <c r="K250" s="161" t="s">
        <v>1057</v>
      </c>
      <c r="L250" s="160" t="s">
        <v>36</v>
      </c>
      <c r="M250" s="160" t="s">
        <v>35</v>
      </c>
      <c r="N250" s="160" t="s">
        <v>811</v>
      </c>
      <c r="O250" s="160" t="s">
        <v>1071</v>
      </c>
      <c r="P250" s="160" t="s">
        <v>1059</v>
      </c>
      <c r="Q250" s="160" t="str">
        <f>CONCATENATE(25+(FLOOR(Data!E25/2,1)*5)," ft.")</f>
        <v>25 ft.</v>
      </c>
      <c r="R250" s="162" t="str">
        <f>CONCATENATE("Target: Metal equipment of ",FLOOR(Data!E25/2,1)," creatures, or ",Data!E25*25," lb. of metal; all within a 30-ft. diameter circle")</f>
        <v>Target: Metal equipment of 0 creatures, or 25 lb. of metal; all within a 30-ft. diameter circle</v>
      </c>
      <c r="S250" s="160" t="s">
        <v>1216</v>
      </c>
      <c r="T250" s="160" t="s">
        <v>1169</v>
      </c>
      <c r="U250" s="160" t="s">
        <v>1217</v>
      </c>
      <c r="V250" s="160" t="s">
        <v>1057</v>
      </c>
    </row>
    <row r="251" spans="2:22" ht="11.25">
      <c r="B251" s="161" t="s">
        <v>1057</v>
      </c>
      <c r="C251" s="161" t="s">
        <v>1057</v>
      </c>
      <c r="D251" s="161" t="s">
        <v>1057</v>
      </c>
      <c r="E251" s="161" t="s">
        <v>1057</v>
      </c>
      <c r="F251" s="161">
        <v>3</v>
      </c>
      <c r="G251" s="161" t="s">
        <v>1057</v>
      </c>
      <c r="H251" s="161" t="s">
        <v>1057</v>
      </c>
      <c r="I251" s="161" t="s">
        <v>1057</v>
      </c>
      <c r="J251" s="161" t="s">
        <v>1057</v>
      </c>
      <c r="K251" s="161" t="s">
        <v>1057</v>
      </c>
      <c r="L251" s="160" t="s">
        <v>1057</v>
      </c>
      <c r="M251" s="160" t="s">
        <v>890</v>
      </c>
      <c r="N251" s="160" t="s">
        <v>1162</v>
      </c>
      <c r="O251" s="160" t="s">
        <v>1071</v>
      </c>
      <c r="P251" s="160" t="s">
        <v>1059</v>
      </c>
      <c r="Q251" s="160" t="s">
        <v>37</v>
      </c>
      <c r="R251" s="162" t="s">
        <v>38</v>
      </c>
      <c r="S251" s="160" t="str">
        <f>CONCATENATE(Data!E25," hours")</f>
        <v>1 hours</v>
      </c>
      <c r="T251" s="160" t="s">
        <v>1061</v>
      </c>
      <c r="U251" s="160" t="s">
        <v>801</v>
      </c>
      <c r="V251" s="160" t="s">
        <v>1057</v>
      </c>
    </row>
    <row r="252" spans="2:22" ht="11.25">
      <c r="B252" s="161" t="s">
        <v>1057</v>
      </c>
      <c r="C252" s="161" t="s">
        <v>1057</v>
      </c>
      <c r="D252" s="161">
        <v>6</v>
      </c>
      <c r="E252" s="161" t="s">
        <v>1057</v>
      </c>
      <c r="F252" s="161">
        <v>6</v>
      </c>
      <c r="G252" s="161" t="s">
        <v>1057</v>
      </c>
      <c r="H252" s="161" t="s">
        <v>1057</v>
      </c>
      <c r="I252" s="161" t="s">
        <v>1057</v>
      </c>
      <c r="J252" s="161" t="s">
        <v>1057</v>
      </c>
      <c r="K252" s="161" t="s">
        <v>1057</v>
      </c>
      <c r="L252" s="160" t="s">
        <v>1057</v>
      </c>
      <c r="M252" s="160" t="s">
        <v>39</v>
      </c>
      <c r="N252" s="160" t="s">
        <v>815</v>
      </c>
      <c r="O252" s="160" t="s">
        <v>1071</v>
      </c>
      <c r="P252" s="160" t="s">
        <v>1118</v>
      </c>
      <c r="Q252" s="160" t="str">
        <f>CONCATENATE(25+(FLOOR(Data!E25/2,1)*5)," ft.")</f>
        <v>25 ft.</v>
      </c>
      <c r="R252" s="162" t="str">
        <f>CONCATENATE("Effect: Feast for ",Data!E25," creatures")</f>
        <v>Effect: Feast for 1 creatures</v>
      </c>
      <c r="S252" s="160" t="s">
        <v>1087</v>
      </c>
      <c r="T252" s="160" t="s">
        <v>1061</v>
      </c>
      <c r="U252" s="160" t="s">
        <v>801</v>
      </c>
      <c r="V252" s="160" t="s">
        <v>1057</v>
      </c>
    </row>
    <row r="253" spans="2:22" ht="11.25">
      <c r="B253" s="161" t="s">
        <v>1057</v>
      </c>
      <c r="C253" s="161" t="s">
        <v>1057</v>
      </c>
      <c r="D253" s="161">
        <v>2</v>
      </c>
      <c r="E253" s="161" t="s">
        <v>1057</v>
      </c>
      <c r="F253" s="161" t="s">
        <v>1057</v>
      </c>
      <c r="G253" s="161" t="s">
        <v>1057</v>
      </c>
      <c r="H253" s="161" t="s">
        <v>1057</v>
      </c>
      <c r="I253" s="161" t="s">
        <v>1057</v>
      </c>
      <c r="J253" s="161">
        <v>3</v>
      </c>
      <c r="K253" s="161">
        <v>3</v>
      </c>
      <c r="L253" s="160" t="s">
        <v>1057</v>
      </c>
      <c r="M253" s="160" t="s">
        <v>40</v>
      </c>
      <c r="N253" s="160" t="s">
        <v>804</v>
      </c>
      <c r="O253" s="160" t="s">
        <v>1067</v>
      </c>
      <c r="P253" s="160" t="s">
        <v>1059</v>
      </c>
      <c r="Q253" s="160" t="s">
        <v>799</v>
      </c>
      <c r="R253" s="162" t="s">
        <v>1152</v>
      </c>
      <c r="S253" s="160" t="str">
        <f>CONCATENATE(Data!E25*10," min.")</f>
        <v>10 min.</v>
      </c>
      <c r="T253" s="160" t="s">
        <v>1153</v>
      </c>
      <c r="U253" s="160" t="s">
        <v>1073</v>
      </c>
      <c r="V253" s="160" t="s">
        <v>1057</v>
      </c>
    </row>
    <row r="254" spans="2:22" ht="11.25">
      <c r="B254" s="161" t="s">
        <v>1057</v>
      </c>
      <c r="C254" s="161" t="s">
        <v>1057</v>
      </c>
      <c r="D254" s="161">
        <v>5</v>
      </c>
      <c r="E254" s="161" t="s">
        <v>1057</v>
      </c>
      <c r="F254" s="161" t="s">
        <v>1057</v>
      </c>
      <c r="G254" s="161" t="s">
        <v>1057</v>
      </c>
      <c r="H254" s="161" t="s">
        <v>1057</v>
      </c>
      <c r="I254" s="161" t="s">
        <v>1057</v>
      </c>
      <c r="J254" s="161">
        <v>6</v>
      </c>
      <c r="K254" s="161">
        <v>6</v>
      </c>
      <c r="L254" s="160" t="s">
        <v>1057</v>
      </c>
      <c r="M254" s="160" t="s">
        <v>41</v>
      </c>
      <c r="N254" s="160" t="s">
        <v>804</v>
      </c>
      <c r="O254" s="160" t="s">
        <v>1067</v>
      </c>
      <c r="P254" s="160" t="s">
        <v>1059</v>
      </c>
      <c r="Q254" s="160" t="s">
        <v>799</v>
      </c>
      <c r="R254" s="162" t="s">
        <v>1152</v>
      </c>
      <c r="S254" s="160" t="str">
        <f>CONCATENATE(Data!E25," min.")</f>
        <v>1 min.</v>
      </c>
      <c r="T254" s="160" t="s">
        <v>1153</v>
      </c>
      <c r="U254" s="160" t="s">
        <v>1073</v>
      </c>
      <c r="V254" s="160" t="s">
        <v>1057</v>
      </c>
    </row>
    <row r="255" spans="2:22" ht="11.25">
      <c r="B255" s="161" t="s">
        <v>1057</v>
      </c>
      <c r="C255" s="161" t="s">
        <v>1057</v>
      </c>
      <c r="D255" s="161" t="s">
        <v>1057</v>
      </c>
      <c r="E255" s="161" t="s">
        <v>1057</v>
      </c>
      <c r="F255" s="161" t="s">
        <v>1057</v>
      </c>
      <c r="G255" s="161">
        <v>1</v>
      </c>
      <c r="H255" s="161" t="s">
        <v>1057</v>
      </c>
      <c r="I255" s="161">
        <v>1</v>
      </c>
      <c r="J255" s="161" t="s">
        <v>1057</v>
      </c>
      <c r="K255" s="161" t="s">
        <v>1057</v>
      </c>
      <c r="L255" s="160" t="s">
        <v>1057</v>
      </c>
      <c r="M255" s="160" t="s">
        <v>42</v>
      </c>
      <c r="N255" s="160" t="s">
        <v>845</v>
      </c>
      <c r="O255" s="160" t="s">
        <v>43</v>
      </c>
      <c r="P255" s="160" t="s">
        <v>1059</v>
      </c>
      <c r="Q255" s="160" t="s">
        <v>799</v>
      </c>
      <c r="R255" s="162" t="str">
        <f>CONCATENATE("Targets: ",Data!E25," creatures touched")</f>
        <v>Targets: 1 creatures touched</v>
      </c>
      <c r="S255" s="160" t="str">
        <f>CONCATENATE(Data!E25*10," min. [D]")</f>
        <v>10 min. [D]</v>
      </c>
      <c r="T255" s="160" t="s">
        <v>1153</v>
      </c>
      <c r="U255" s="160" t="s">
        <v>805</v>
      </c>
      <c r="V255" s="160" t="s">
        <v>1057</v>
      </c>
    </row>
    <row r="256" spans="2:22" ht="11.25">
      <c r="B256" s="161" t="s">
        <v>1057</v>
      </c>
      <c r="C256" s="161" t="s">
        <v>1057</v>
      </c>
      <c r="D256" s="161">
        <v>1</v>
      </c>
      <c r="E256" s="161" t="s">
        <v>1057</v>
      </c>
      <c r="F256" s="161">
        <v>1</v>
      </c>
      <c r="G256" s="161" t="s">
        <v>1057</v>
      </c>
      <c r="H256" s="161" t="s">
        <v>1057</v>
      </c>
      <c r="I256" s="161" t="s">
        <v>1057</v>
      </c>
      <c r="J256" s="161" t="s">
        <v>1057</v>
      </c>
      <c r="K256" s="161" t="s">
        <v>1057</v>
      </c>
      <c r="L256" s="160" t="s">
        <v>1057</v>
      </c>
      <c r="M256" s="160" t="s">
        <v>849</v>
      </c>
      <c r="N256" s="160" t="s">
        <v>845</v>
      </c>
      <c r="O256" s="160" t="s">
        <v>1067</v>
      </c>
      <c r="P256" s="160" t="s">
        <v>1059</v>
      </c>
      <c r="Q256" s="160" t="str">
        <f>CONCATENATE(25+(FLOOR(Data!E25/2,1)*5)," ft.")</f>
        <v>25 ft.</v>
      </c>
      <c r="R256" s="162" t="str">
        <f>CONCATENATE("Targets: ",(FLOOR(Data!E25/4,1)+1)," creatures within 30 ft. of each other")</f>
        <v>Targets: 1 creatures within 30 ft. of each other</v>
      </c>
      <c r="S256" s="160" t="s">
        <v>1087</v>
      </c>
      <c r="T256" s="160" t="s">
        <v>1153</v>
      </c>
      <c r="U256" s="160" t="s">
        <v>1073</v>
      </c>
      <c r="V256" s="160" t="s">
        <v>1057</v>
      </c>
    </row>
    <row r="257" spans="2:22" ht="11.25">
      <c r="B257" s="161" t="s">
        <v>1057</v>
      </c>
      <c r="C257" s="161" t="s">
        <v>1057</v>
      </c>
      <c r="D257" s="161" t="s">
        <v>1057</v>
      </c>
      <c r="E257" s="161" t="s">
        <v>1057</v>
      </c>
      <c r="F257" s="161" t="s">
        <v>1057</v>
      </c>
      <c r="G257" s="161" t="s">
        <v>1057</v>
      </c>
      <c r="H257" s="161" t="s">
        <v>1057</v>
      </c>
      <c r="I257" s="161" t="s">
        <v>1057</v>
      </c>
      <c r="J257" s="161">
        <v>1</v>
      </c>
      <c r="K257" s="161">
        <v>1</v>
      </c>
      <c r="L257" s="160" t="s">
        <v>1057</v>
      </c>
      <c r="M257" s="160" t="s">
        <v>425</v>
      </c>
      <c r="N257" s="160" t="s">
        <v>1162</v>
      </c>
      <c r="O257" s="160" t="s">
        <v>1067</v>
      </c>
      <c r="P257" s="160" t="s">
        <v>1059</v>
      </c>
      <c r="Q257" s="160" t="s">
        <v>799</v>
      </c>
      <c r="R257" s="162" t="s">
        <v>250</v>
      </c>
      <c r="S257" s="160" t="s">
        <v>1069</v>
      </c>
      <c r="T257" s="160" t="s">
        <v>1061</v>
      </c>
      <c r="U257" s="160" t="s">
        <v>805</v>
      </c>
      <c r="V257" s="160" t="s">
        <v>1057</v>
      </c>
    </row>
    <row r="258" spans="2:22" ht="11.25">
      <c r="B258" s="161" t="s">
        <v>1057</v>
      </c>
      <c r="C258" s="161" t="s">
        <v>1057</v>
      </c>
      <c r="D258" s="161" t="s">
        <v>1057</v>
      </c>
      <c r="E258" s="161" t="s">
        <v>1057</v>
      </c>
      <c r="F258" s="161" t="s">
        <v>1057</v>
      </c>
      <c r="G258" s="161">
        <v>2</v>
      </c>
      <c r="H258" s="161" t="s">
        <v>1057</v>
      </c>
      <c r="I258" s="161">
        <v>2</v>
      </c>
      <c r="J258" s="161" t="s">
        <v>1057</v>
      </c>
      <c r="K258" s="161" t="s">
        <v>1057</v>
      </c>
      <c r="L258" s="160" t="s">
        <v>48</v>
      </c>
      <c r="M258" s="160" t="s">
        <v>47</v>
      </c>
      <c r="N258" s="160" t="s">
        <v>804</v>
      </c>
      <c r="O258" s="160" t="s">
        <v>1067</v>
      </c>
      <c r="P258" s="160" t="s">
        <v>1059</v>
      </c>
      <c r="Q258" s="160" t="str">
        <f>CONCATENATE(100+(10*Data!E25)," ft.")</f>
        <v>110 ft.</v>
      </c>
      <c r="R258" s="162" t="s">
        <v>1209</v>
      </c>
      <c r="S258" s="160" t="s">
        <v>1087</v>
      </c>
      <c r="T258" s="160" t="s">
        <v>1087</v>
      </c>
      <c r="U258" s="160" t="s">
        <v>805</v>
      </c>
      <c r="V258" s="160" t="s">
        <v>1057</v>
      </c>
    </row>
    <row r="259" spans="2:22" ht="11.25">
      <c r="B259" s="161" t="s">
        <v>1057</v>
      </c>
      <c r="C259" s="161" t="s">
        <v>1057</v>
      </c>
      <c r="D259" s="161">
        <v>4</v>
      </c>
      <c r="E259" s="161" t="s">
        <v>1057</v>
      </c>
      <c r="F259" s="161" t="s">
        <v>1057</v>
      </c>
      <c r="G259" s="161" t="s">
        <v>1057</v>
      </c>
      <c r="H259" s="161" t="s">
        <v>1057</v>
      </c>
      <c r="I259" s="161" t="s">
        <v>1057</v>
      </c>
      <c r="J259" s="161">
        <v>5</v>
      </c>
      <c r="K259" s="161">
        <v>5</v>
      </c>
      <c r="L259" s="160" t="s">
        <v>50</v>
      </c>
      <c r="M259" s="160" t="s">
        <v>49</v>
      </c>
      <c r="N259" s="160" t="s">
        <v>804</v>
      </c>
      <c r="O259" s="160" t="s">
        <v>1064</v>
      </c>
      <c r="P259" s="160" t="s">
        <v>1059</v>
      </c>
      <c r="Q259" s="160" t="str">
        <f>CONCATENATE(100+(10*Data!E25)," ft.")</f>
        <v>110 ft.</v>
      </c>
      <c r="R259" s="162" t="s">
        <v>1156</v>
      </c>
      <c r="S259" s="160" t="s">
        <v>1087</v>
      </c>
      <c r="T259" s="160" t="s">
        <v>1087</v>
      </c>
      <c r="U259" s="160" t="s">
        <v>805</v>
      </c>
      <c r="V259" s="160" t="s">
        <v>1057</v>
      </c>
    </row>
    <row r="260" spans="2:22" ht="11.25">
      <c r="B260" s="161" t="s">
        <v>1057</v>
      </c>
      <c r="C260" s="161" t="s">
        <v>1057</v>
      </c>
      <c r="D260" s="161" t="s">
        <v>1057</v>
      </c>
      <c r="E260" s="161" t="s">
        <v>1057</v>
      </c>
      <c r="F260" s="161" t="s">
        <v>1057</v>
      </c>
      <c r="G260" s="161" t="s">
        <v>1057</v>
      </c>
      <c r="H260" s="161" t="s">
        <v>1057</v>
      </c>
      <c r="I260" s="161" t="s">
        <v>1057</v>
      </c>
      <c r="J260" s="161">
        <v>9</v>
      </c>
      <c r="K260" s="161">
        <v>9</v>
      </c>
      <c r="L260" s="160" t="s">
        <v>1057</v>
      </c>
      <c r="M260" s="160" t="s">
        <v>51</v>
      </c>
      <c r="N260" s="160" t="s">
        <v>804</v>
      </c>
      <c r="O260" s="160" t="s">
        <v>1064</v>
      </c>
      <c r="P260" s="160" t="s">
        <v>1059</v>
      </c>
      <c r="Q260" s="160" t="str">
        <f>CONCATENATE(100+(10*Data!E25)," ft.")</f>
        <v>110 ft.</v>
      </c>
      <c r="R260" s="162" t="s">
        <v>1212</v>
      </c>
      <c r="S260" s="160" t="s">
        <v>1087</v>
      </c>
      <c r="T260" s="160" t="s">
        <v>1087</v>
      </c>
      <c r="U260" s="160" t="s">
        <v>805</v>
      </c>
      <c r="V260" s="160" t="s">
        <v>1057</v>
      </c>
    </row>
    <row r="261" spans="2:22" ht="11.25">
      <c r="B261" s="161" t="s">
        <v>1057</v>
      </c>
      <c r="C261" s="161" t="s">
        <v>1057</v>
      </c>
      <c r="D261" s="161" t="s">
        <v>1057</v>
      </c>
      <c r="E261" s="161" t="s">
        <v>1057</v>
      </c>
      <c r="F261" s="161">
        <v>1</v>
      </c>
      <c r="G261" s="161" t="s">
        <v>1057</v>
      </c>
      <c r="H261" s="161" t="s">
        <v>1057</v>
      </c>
      <c r="I261" s="161" t="s">
        <v>1057</v>
      </c>
      <c r="J261" s="161" t="s">
        <v>1057</v>
      </c>
      <c r="K261" s="161" t="s">
        <v>1057</v>
      </c>
      <c r="L261" s="160" t="s">
        <v>380</v>
      </c>
      <c r="M261" s="160" t="s">
        <v>850</v>
      </c>
      <c r="N261" s="160" t="s">
        <v>845</v>
      </c>
      <c r="O261" s="160" t="s">
        <v>1071</v>
      </c>
      <c r="P261" s="160" t="s">
        <v>1059</v>
      </c>
      <c r="Q261" s="160" t="s">
        <v>799</v>
      </c>
      <c r="R261" s="162" t="s">
        <v>1152</v>
      </c>
      <c r="S261" s="160" t="str">
        <f>CONCATENATE(Data!E25," rnds")</f>
        <v>1 rnds</v>
      </c>
      <c r="T261" s="160" t="s">
        <v>1141</v>
      </c>
      <c r="U261" s="160" t="s">
        <v>801</v>
      </c>
      <c r="V261" s="160" t="s">
        <v>1057</v>
      </c>
    </row>
    <row r="262" spans="2:22" ht="11.25">
      <c r="B262" s="161" t="s">
        <v>1057</v>
      </c>
      <c r="C262" s="161" t="s">
        <v>1057</v>
      </c>
      <c r="D262" s="161" t="s">
        <v>1057</v>
      </c>
      <c r="E262" s="161" t="s">
        <v>1057</v>
      </c>
      <c r="F262" s="161" t="s">
        <v>1057</v>
      </c>
      <c r="G262" s="161" t="s">
        <v>1057</v>
      </c>
      <c r="H262" s="161" t="s">
        <v>1057</v>
      </c>
      <c r="I262" s="161" t="s">
        <v>1057</v>
      </c>
      <c r="J262" s="161">
        <v>7</v>
      </c>
      <c r="K262" s="161">
        <v>7</v>
      </c>
      <c r="L262" s="160" t="s">
        <v>1057</v>
      </c>
      <c r="M262" s="160" t="s">
        <v>52</v>
      </c>
      <c r="N262" s="160" t="s">
        <v>804</v>
      </c>
      <c r="O262" s="160" t="s">
        <v>1077</v>
      </c>
      <c r="P262" s="160" t="s">
        <v>1059</v>
      </c>
      <c r="Q262" s="160" t="str">
        <f>CONCATENATE(100+(10*Data!E25)," ft.")</f>
        <v>110 ft.</v>
      </c>
      <c r="R262" s="162" t="s">
        <v>53</v>
      </c>
      <c r="S262" s="160" t="s">
        <v>1087</v>
      </c>
      <c r="T262" s="160" t="s">
        <v>1087</v>
      </c>
      <c r="U262" s="160" t="s">
        <v>805</v>
      </c>
      <c r="V262" s="160" t="s">
        <v>1057</v>
      </c>
    </row>
    <row r="263" spans="2:22" ht="11.25">
      <c r="B263" s="161" t="s">
        <v>1057</v>
      </c>
      <c r="C263" s="161" t="s">
        <v>1057</v>
      </c>
      <c r="D263" s="161">
        <v>1</v>
      </c>
      <c r="E263" s="161" t="s">
        <v>1057</v>
      </c>
      <c r="F263" s="161" t="s">
        <v>1057</v>
      </c>
      <c r="G263" s="161" t="s">
        <v>1057</v>
      </c>
      <c r="H263" s="161" t="s">
        <v>1057</v>
      </c>
      <c r="I263" s="161" t="s">
        <v>1057</v>
      </c>
      <c r="J263" s="161">
        <v>1</v>
      </c>
      <c r="K263" s="161">
        <v>1</v>
      </c>
      <c r="L263" s="160" t="s">
        <v>1057</v>
      </c>
      <c r="M263" s="160" t="s">
        <v>430</v>
      </c>
      <c r="N263" s="160" t="s">
        <v>1179</v>
      </c>
      <c r="O263" s="160" t="s">
        <v>1086</v>
      </c>
      <c r="P263" s="160" t="s">
        <v>1059</v>
      </c>
      <c r="Q263" s="160" t="str">
        <f>CONCATENATE(400+(40*Data!E25)," ft.")</f>
        <v>440 ft.</v>
      </c>
      <c r="R263" s="162" t="str">
        <f>CONCATENATE("Effect: Visual figment that cannot extend beyond ",Data!E25+4," 10-ft. cubes (S)")</f>
        <v>Effect: Visual figment that cannot extend beyond 5 10-ft. cubes (S)</v>
      </c>
      <c r="S263" s="160" t="s">
        <v>1097</v>
      </c>
      <c r="T263" s="160" t="s">
        <v>1462</v>
      </c>
      <c r="U263" s="160" t="s">
        <v>801</v>
      </c>
      <c r="V263" s="160" t="s">
        <v>1057</v>
      </c>
    </row>
    <row r="264" spans="2:22" ht="11.25">
      <c r="B264" s="161" t="s">
        <v>1057</v>
      </c>
      <c r="C264" s="161" t="s">
        <v>1057</v>
      </c>
      <c r="D264" s="161" t="s">
        <v>1057</v>
      </c>
      <c r="E264" s="161" t="s">
        <v>1057</v>
      </c>
      <c r="F264" s="161">
        <v>8</v>
      </c>
      <c r="G264" s="161" t="s">
        <v>1057</v>
      </c>
      <c r="H264" s="161" t="s">
        <v>1057</v>
      </c>
      <c r="I264" s="161" t="s">
        <v>1057</v>
      </c>
      <c r="J264" s="161" t="s">
        <v>1057</v>
      </c>
      <c r="K264" s="161" t="s">
        <v>1057</v>
      </c>
      <c r="L264" s="160" t="s">
        <v>56</v>
      </c>
      <c r="M264" s="160" t="s">
        <v>55</v>
      </c>
      <c r="N264" s="160" t="s">
        <v>845</v>
      </c>
      <c r="O264" s="160" t="s">
        <v>1086</v>
      </c>
      <c r="P264" s="160" t="s">
        <v>1059</v>
      </c>
      <c r="Q264" s="160" t="s">
        <v>1228</v>
      </c>
      <c r="R264" s="162" t="str">
        <f>CONCATENATE("Targets: ",Data!E25," creatures in a 20-ft.-radius burst centered on you")</f>
        <v>Targets: 1 creatures in a 20-ft.-radius burst centered on you</v>
      </c>
      <c r="S264" s="160" t="str">
        <f>CONCATENATE(Data!E25," rnds [D]")</f>
        <v>1 rnds [D]</v>
      </c>
      <c r="T264" s="160" t="s">
        <v>1087</v>
      </c>
      <c r="U264" s="160" t="s">
        <v>1073</v>
      </c>
      <c r="V264" s="160" t="s">
        <v>1134</v>
      </c>
    </row>
    <row r="265" spans="2:22" ht="11.25">
      <c r="B265" s="161" t="s">
        <v>1057</v>
      </c>
      <c r="C265" s="161" t="s">
        <v>1057</v>
      </c>
      <c r="D265" s="161" t="s">
        <v>1057</v>
      </c>
      <c r="E265" s="161" t="s">
        <v>1057</v>
      </c>
      <c r="F265" s="161" t="s">
        <v>1057</v>
      </c>
      <c r="G265" s="161" t="s">
        <v>1057</v>
      </c>
      <c r="H265" s="161" t="s">
        <v>1057</v>
      </c>
      <c r="I265" s="161" t="s">
        <v>1057</v>
      </c>
      <c r="J265" s="161" t="s">
        <v>1057</v>
      </c>
      <c r="K265" s="161" t="s">
        <v>1057</v>
      </c>
      <c r="L265" s="160" t="s">
        <v>58</v>
      </c>
      <c r="M265" s="160" t="s">
        <v>57</v>
      </c>
      <c r="N265" s="160" t="s">
        <v>1162</v>
      </c>
      <c r="O265" s="160" t="s">
        <v>1067</v>
      </c>
      <c r="P265" s="160" t="s">
        <v>1059</v>
      </c>
      <c r="Q265" s="160" t="str">
        <f>CONCATENATE(100+(10*Data!E25)," ft.")</f>
        <v>110 ft.</v>
      </c>
      <c r="R265" s="162" t="s">
        <v>1207</v>
      </c>
      <c r="S265" s="160" t="s">
        <v>1087</v>
      </c>
      <c r="T265" s="160" t="s">
        <v>1087</v>
      </c>
      <c r="U265" s="160" t="s">
        <v>805</v>
      </c>
      <c r="V265" s="160" t="s">
        <v>1057</v>
      </c>
    </row>
    <row r="266" spans="2:22" ht="11.25">
      <c r="B266" s="161" t="s">
        <v>1057</v>
      </c>
      <c r="C266" s="161" t="s">
        <v>1057</v>
      </c>
      <c r="D266" s="161" t="s">
        <v>1057</v>
      </c>
      <c r="E266" s="161" t="s">
        <v>1057</v>
      </c>
      <c r="F266" s="161" t="s">
        <v>1057</v>
      </c>
      <c r="G266" s="161" t="s">
        <v>1057</v>
      </c>
      <c r="H266" s="161">
        <v>4</v>
      </c>
      <c r="I266" s="161" t="s">
        <v>1057</v>
      </c>
      <c r="J266" s="161" t="s">
        <v>1057</v>
      </c>
      <c r="K266" s="161" t="s">
        <v>1057</v>
      </c>
      <c r="L266" s="160" t="s">
        <v>1057</v>
      </c>
      <c r="M266" s="160" t="s">
        <v>59</v>
      </c>
      <c r="N266" s="160" t="s">
        <v>1162</v>
      </c>
      <c r="O266" s="160" t="s">
        <v>1067</v>
      </c>
      <c r="P266" s="160" t="s">
        <v>1059</v>
      </c>
      <c r="Q266" s="160" t="s">
        <v>799</v>
      </c>
      <c r="R266" s="162" t="s">
        <v>60</v>
      </c>
      <c r="S266" s="160" t="str">
        <f>CONCATENATE(Data!E25," rnds")</f>
        <v>1 rnds</v>
      </c>
      <c r="T266" s="160" t="s">
        <v>1061</v>
      </c>
      <c r="U266" s="160" t="s">
        <v>801</v>
      </c>
      <c r="V266" s="160" t="s">
        <v>1057</v>
      </c>
    </row>
    <row r="267" spans="2:22" ht="11.25">
      <c r="B267" s="161" t="s">
        <v>1057</v>
      </c>
      <c r="C267" s="161" t="s">
        <v>1057</v>
      </c>
      <c r="D267" s="161" t="s">
        <v>1057</v>
      </c>
      <c r="E267" s="161" t="s">
        <v>1057</v>
      </c>
      <c r="F267" s="161">
        <v>7</v>
      </c>
      <c r="G267" s="161" t="s">
        <v>1057</v>
      </c>
      <c r="H267" s="161" t="s">
        <v>1057</v>
      </c>
      <c r="I267" s="161" t="s">
        <v>1057</v>
      </c>
      <c r="J267" s="161" t="s">
        <v>1057</v>
      </c>
      <c r="K267" s="161" t="s">
        <v>1057</v>
      </c>
      <c r="L267" s="160" t="s">
        <v>62</v>
      </c>
      <c r="M267" s="160" t="s">
        <v>61</v>
      </c>
      <c r="N267" s="160" t="s">
        <v>1162</v>
      </c>
      <c r="O267" s="160" t="s">
        <v>1104</v>
      </c>
      <c r="P267" s="160" t="s">
        <v>1059</v>
      </c>
      <c r="Q267" s="160" t="s">
        <v>1165</v>
      </c>
      <c r="R267" s="162" t="s">
        <v>63</v>
      </c>
      <c r="S267" s="160" t="s">
        <v>1069</v>
      </c>
      <c r="T267" s="160" t="s">
        <v>1087</v>
      </c>
      <c r="U267" s="160" t="s">
        <v>805</v>
      </c>
      <c r="V267" s="160" t="s">
        <v>1057</v>
      </c>
    </row>
    <row r="268" spans="2:22" ht="11.25">
      <c r="B268" s="161" t="s">
        <v>1057</v>
      </c>
      <c r="C268" s="161" t="s">
        <v>1057</v>
      </c>
      <c r="D268" s="161" t="s">
        <v>1057</v>
      </c>
      <c r="E268" s="161" t="s">
        <v>1057</v>
      </c>
      <c r="F268" s="161" t="s">
        <v>1057</v>
      </c>
      <c r="G268" s="161" t="s">
        <v>1057</v>
      </c>
      <c r="H268" s="161" t="s">
        <v>1057</v>
      </c>
      <c r="I268" s="161" t="s">
        <v>1057</v>
      </c>
      <c r="J268" s="161">
        <v>8</v>
      </c>
      <c r="K268" s="161">
        <v>8</v>
      </c>
      <c r="L268" s="160" t="s">
        <v>65</v>
      </c>
      <c r="M268" s="160" t="s">
        <v>64</v>
      </c>
      <c r="N268" s="160" t="s">
        <v>826</v>
      </c>
      <c r="O268" s="160" t="s">
        <v>1064</v>
      </c>
      <c r="P268" s="160" t="s">
        <v>1059</v>
      </c>
      <c r="Q268" s="160" t="str">
        <f>CONCATENATE(400+(40*Data!E25)," ft.")</f>
        <v>440 ft.</v>
      </c>
      <c r="R268" s="162" t="s">
        <v>66</v>
      </c>
      <c r="S268" s="160" t="s">
        <v>1069</v>
      </c>
      <c r="T268" s="160" t="s">
        <v>67</v>
      </c>
      <c r="U268" s="160" t="s">
        <v>805</v>
      </c>
      <c r="V268" s="160" t="s">
        <v>1057</v>
      </c>
    </row>
    <row r="269" spans="2:22" ht="11.25">
      <c r="B269" s="161">
        <v>1</v>
      </c>
      <c r="C269" s="161">
        <v>1</v>
      </c>
      <c r="D269" s="161">
        <v>1</v>
      </c>
      <c r="E269" s="161" t="s">
        <v>1057</v>
      </c>
      <c r="F269" s="161" t="s">
        <v>1057</v>
      </c>
      <c r="G269" s="161" t="s">
        <v>1057</v>
      </c>
      <c r="H269" s="161" t="s">
        <v>1057</v>
      </c>
      <c r="I269" s="161" t="s">
        <v>1057</v>
      </c>
      <c r="J269" s="161">
        <v>1</v>
      </c>
      <c r="K269" s="161">
        <v>1</v>
      </c>
      <c r="L269" s="160" t="s">
        <v>1057</v>
      </c>
      <c r="M269" s="160" t="s">
        <v>437</v>
      </c>
      <c r="N269" s="160" t="s">
        <v>804</v>
      </c>
      <c r="O269" s="160" t="s">
        <v>1091</v>
      </c>
      <c r="P269" s="160" t="s">
        <v>1108</v>
      </c>
      <c r="Q269" s="160" t="str">
        <f>CONCATENATE(100+(10*Data!E25)," ft.")</f>
        <v>110 ft.</v>
      </c>
      <c r="R269" s="162" t="s">
        <v>1299</v>
      </c>
      <c r="S269" s="160" t="str">
        <f>CONCATENATE(Data!E25," min.")</f>
        <v>1 min.</v>
      </c>
      <c r="T269" s="160" t="s">
        <v>1141</v>
      </c>
      <c r="U269" s="160" t="s">
        <v>805</v>
      </c>
      <c r="V269" s="160" t="s">
        <v>1057</v>
      </c>
    </row>
    <row r="270" spans="2:22" ht="11.25">
      <c r="B270" s="161" t="s">
        <v>1057</v>
      </c>
      <c r="C270" s="161">
        <v>1</v>
      </c>
      <c r="D270" s="161" t="s">
        <v>1057</v>
      </c>
      <c r="E270" s="161" t="s">
        <v>1057</v>
      </c>
      <c r="F270" s="161" t="s">
        <v>1057</v>
      </c>
      <c r="G270" s="161" t="s">
        <v>1057</v>
      </c>
      <c r="H270" s="161" t="s">
        <v>1057</v>
      </c>
      <c r="I270" s="161" t="s">
        <v>1057</v>
      </c>
      <c r="J270" s="161">
        <v>1</v>
      </c>
      <c r="K270" s="161">
        <v>1</v>
      </c>
      <c r="L270" s="160" t="s">
        <v>1057</v>
      </c>
      <c r="M270" s="160" t="s">
        <v>556</v>
      </c>
      <c r="N270" s="160" t="s">
        <v>822</v>
      </c>
      <c r="O270" s="160" t="s">
        <v>557</v>
      </c>
      <c r="P270" s="160" t="s">
        <v>1059</v>
      </c>
      <c r="Q270" s="160" t="s">
        <v>817</v>
      </c>
      <c r="R270" s="162" t="s">
        <v>1084</v>
      </c>
      <c r="S270" s="160" t="s">
        <v>1087</v>
      </c>
      <c r="T270" s="160" t="s">
        <v>1061</v>
      </c>
      <c r="U270" s="160" t="s">
        <v>801</v>
      </c>
      <c r="V270" s="160" t="s">
        <v>1057</v>
      </c>
    </row>
    <row r="271" spans="2:22" ht="11.25">
      <c r="B271" s="161" t="s">
        <v>1057</v>
      </c>
      <c r="C271" s="161" t="s">
        <v>1057</v>
      </c>
      <c r="D271" s="161" t="s">
        <v>1057</v>
      </c>
      <c r="E271" s="161" t="s">
        <v>1057</v>
      </c>
      <c r="F271" s="161" t="s">
        <v>1057</v>
      </c>
      <c r="G271" s="161">
        <v>4</v>
      </c>
      <c r="H271" s="161" t="s">
        <v>1057</v>
      </c>
      <c r="I271" s="161" t="s">
        <v>1057</v>
      </c>
      <c r="J271" s="161">
        <v>4</v>
      </c>
      <c r="K271" s="161">
        <v>4</v>
      </c>
      <c r="L271" s="160" t="s">
        <v>75</v>
      </c>
      <c r="M271" s="160" t="s">
        <v>74</v>
      </c>
      <c r="N271" s="160" t="s">
        <v>1162</v>
      </c>
      <c r="O271" s="160" t="s">
        <v>1064</v>
      </c>
      <c r="P271" s="160" t="s">
        <v>1059</v>
      </c>
      <c r="Q271" s="160" t="str">
        <f>CONCATENATE(400+(40*Data!E25)," ft.")</f>
        <v>440 ft.</v>
      </c>
      <c r="R271" s="162" t="s">
        <v>76</v>
      </c>
      <c r="S271" s="160" t="str">
        <f>CONCATENATE(Data!E25," full round")</f>
        <v>1 full round</v>
      </c>
      <c r="T271" s="160" t="s">
        <v>1061</v>
      </c>
      <c r="U271" s="160" t="s">
        <v>805</v>
      </c>
      <c r="V271" s="160" t="s">
        <v>1057</v>
      </c>
    </row>
    <row r="272" spans="2:22" ht="11.25">
      <c r="B272" s="161" t="s">
        <v>1057</v>
      </c>
      <c r="C272" s="161" t="s">
        <v>1057</v>
      </c>
      <c r="D272" s="161">
        <v>1</v>
      </c>
      <c r="E272" s="161" t="s">
        <v>1057</v>
      </c>
      <c r="F272" s="161" t="s">
        <v>1057</v>
      </c>
      <c r="G272" s="161" t="s">
        <v>1057</v>
      </c>
      <c r="H272" s="161" t="s">
        <v>1057</v>
      </c>
      <c r="I272" s="161" t="s">
        <v>1057</v>
      </c>
      <c r="J272" s="161">
        <v>1</v>
      </c>
      <c r="K272" s="161">
        <v>1</v>
      </c>
      <c r="L272" s="160" t="s">
        <v>1057</v>
      </c>
      <c r="M272" s="160" t="s">
        <v>565</v>
      </c>
      <c r="N272" s="160" t="s">
        <v>815</v>
      </c>
      <c r="O272" s="160" t="s">
        <v>1091</v>
      </c>
      <c r="P272" s="160" t="s">
        <v>1059</v>
      </c>
      <c r="Q272" s="160" t="str">
        <f>CONCATENATE(25+(FLOOR(Data!E25/2,1)*5)," ft.")</f>
        <v>25 ft.</v>
      </c>
      <c r="R272" s="162" t="s">
        <v>566</v>
      </c>
      <c r="S272" s="160" t="str">
        <f>CONCATENATE(Data!E25," hours")</f>
        <v>1 hours</v>
      </c>
      <c r="T272" s="160" t="s">
        <v>1061</v>
      </c>
      <c r="U272" s="160" t="s">
        <v>801</v>
      </c>
      <c r="V272" s="160" t="s">
        <v>1057</v>
      </c>
    </row>
    <row r="273" spans="2:22" ht="11.25">
      <c r="B273" s="161" t="s">
        <v>1057</v>
      </c>
      <c r="C273" s="161">
        <v>2</v>
      </c>
      <c r="D273" s="161">
        <v>3</v>
      </c>
      <c r="E273" s="161" t="s">
        <v>1057</v>
      </c>
      <c r="F273" s="161" t="s">
        <v>1057</v>
      </c>
      <c r="G273" s="161" t="s">
        <v>1057</v>
      </c>
      <c r="H273" s="161" t="s">
        <v>1057</v>
      </c>
      <c r="I273" s="161" t="s">
        <v>1057</v>
      </c>
      <c r="J273" s="161">
        <v>3</v>
      </c>
      <c r="K273" s="161">
        <v>3</v>
      </c>
      <c r="L273" s="160" t="s">
        <v>1057</v>
      </c>
      <c r="M273" s="160" t="s">
        <v>81</v>
      </c>
      <c r="N273" s="160" t="s">
        <v>1179</v>
      </c>
      <c r="O273" s="160" t="s">
        <v>1091</v>
      </c>
      <c r="P273" s="160" t="s">
        <v>1087</v>
      </c>
      <c r="Q273" s="160" t="s">
        <v>799</v>
      </c>
      <c r="R273" s="162" t="s">
        <v>1390</v>
      </c>
      <c r="S273" s="160" t="str">
        <f>CONCATENATE(Data!E25," days [D]")</f>
        <v>1 days [D]</v>
      </c>
      <c r="T273" s="160" t="s">
        <v>1087</v>
      </c>
      <c r="U273" s="160" t="s">
        <v>805</v>
      </c>
      <c r="V273" s="160" t="s">
        <v>1136</v>
      </c>
    </row>
    <row r="274" spans="2:22" ht="11.25">
      <c r="B274" s="161" t="s">
        <v>1057</v>
      </c>
      <c r="C274" s="161" t="s">
        <v>1057</v>
      </c>
      <c r="D274" s="161" t="s">
        <v>1057</v>
      </c>
      <c r="E274" s="161" t="s">
        <v>1057</v>
      </c>
      <c r="F274" s="161" t="s">
        <v>1057</v>
      </c>
      <c r="G274" s="161" t="s">
        <v>1057</v>
      </c>
      <c r="H274" s="161" t="s">
        <v>1057</v>
      </c>
      <c r="I274" s="161" t="s">
        <v>1057</v>
      </c>
      <c r="J274" s="161">
        <v>4</v>
      </c>
      <c r="K274" s="161">
        <v>4</v>
      </c>
      <c r="L274" s="160" t="s">
        <v>1057</v>
      </c>
      <c r="M274" s="160" t="s">
        <v>82</v>
      </c>
      <c r="N274" s="160" t="s">
        <v>1179</v>
      </c>
      <c r="O274" s="160" t="s">
        <v>1067</v>
      </c>
      <c r="P274" s="160" t="s">
        <v>1059</v>
      </c>
      <c r="Q274" s="160" t="str">
        <f>CONCATENATE(25+(FLOOR(Data!E25/2,1)*5)," ft.")</f>
        <v>25 ft.</v>
      </c>
      <c r="R274" s="162" t="s">
        <v>83</v>
      </c>
      <c r="S274" s="160" t="s">
        <v>800</v>
      </c>
      <c r="T274" s="160" t="s">
        <v>1462</v>
      </c>
      <c r="U274" s="160" t="s">
        <v>801</v>
      </c>
      <c r="V274" s="160" t="s">
        <v>1057</v>
      </c>
    </row>
    <row r="275" spans="2:22" ht="11.25">
      <c r="B275" s="161" t="s">
        <v>1057</v>
      </c>
      <c r="C275" s="161" t="s">
        <v>1057</v>
      </c>
      <c r="D275" s="161" t="s">
        <v>1057</v>
      </c>
      <c r="E275" s="161" t="s">
        <v>1057</v>
      </c>
      <c r="F275" s="161">
        <v>4</v>
      </c>
      <c r="G275" s="161" t="s">
        <v>1057</v>
      </c>
      <c r="H275" s="161" t="s">
        <v>1057</v>
      </c>
      <c r="I275" s="161" t="s">
        <v>1057</v>
      </c>
      <c r="J275" s="161" t="s">
        <v>1057</v>
      </c>
      <c r="K275" s="161" t="s">
        <v>1057</v>
      </c>
      <c r="L275" s="160" t="s">
        <v>85</v>
      </c>
      <c r="M275" s="160" t="s">
        <v>84</v>
      </c>
      <c r="N275" s="160" t="s">
        <v>1162</v>
      </c>
      <c r="O275" s="160" t="s">
        <v>1071</v>
      </c>
      <c r="P275" s="160" t="s">
        <v>1118</v>
      </c>
      <c r="Q275" s="160" t="s">
        <v>799</v>
      </c>
      <c r="R275" s="162" t="s">
        <v>86</v>
      </c>
      <c r="S275" s="160" t="s">
        <v>1391</v>
      </c>
      <c r="T275" s="160" t="s">
        <v>1153</v>
      </c>
      <c r="U275" s="160" t="s">
        <v>1073</v>
      </c>
      <c r="V275" s="160" t="s">
        <v>1057</v>
      </c>
    </row>
    <row r="276" spans="2:22" ht="11.25">
      <c r="B276" s="161" t="s">
        <v>1057</v>
      </c>
      <c r="C276" s="161" t="s">
        <v>1057</v>
      </c>
      <c r="D276" s="161" t="s">
        <v>1057</v>
      </c>
      <c r="E276" s="161" t="s">
        <v>1057</v>
      </c>
      <c r="F276" s="161">
        <v>9</v>
      </c>
      <c r="G276" s="161" t="s">
        <v>1057</v>
      </c>
      <c r="H276" s="161" t="s">
        <v>1057</v>
      </c>
      <c r="I276" s="161" t="s">
        <v>1057</v>
      </c>
      <c r="J276" s="161" t="s">
        <v>1057</v>
      </c>
      <c r="K276" s="161" t="s">
        <v>1057</v>
      </c>
      <c r="L276" s="160" t="s">
        <v>88</v>
      </c>
      <c r="M276" s="160" t="s">
        <v>87</v>
      </c>
      <c r="N276" s="160" t="s">
        <v>1162</v>
      </c>
      <c r="O276" s="160" t="s">
        <v>1067</v>
      </c>
      <c r="P276" s="160" t="s">
        <v>1059</v>
      </c>
      <c r="Q276" s="160" t="str">
        <f>CONCATENATE(25+(FLOOR(Data!E25/2,1)*5)," ft.")</f>
        <v>25 ft.</v>
      </c>
      <c r="R276" s="162" t="s">
        <v>89</v>
      </c>
      <c r="S276" s="160" t="s">
        <v>90</v>
      </c>
      <c r="T276" s="160" t="s">
        <v>1090</v>
      </c>
      <c r="U276" s="160" t="s">
        <v>805</v>
      </c>
      <c r="V276" s="160" t="s">
        <v>1057</v>
      </c>
    </row>
    <row r="277" spans="2:22" ht="11.25">
      <c r="B277" s="161" t="s">
        <v>1057</v>
      </c>
      <c r="C277" s="161" t="s">
        <v>1057</v>
      </c>
      <c r="D277" s="161" t="s">
        <v>1057</v>
      </c>
      <c r="E277" s="161" t="s">
        <v>1057</v>
      </c>
      <c r="F277" s="161" t="s">
        <v>1057</v>
      </c>
      <c r="G277" s="161" t="s">
        <v>1057</v>
      </c>
      <c r="H277" s="161" t="s">
        <v>1057</v>
      </c>
      <c r="I277" s="161" t="s">
        <v>1057</v>
      </c>
      <c r="J277" s="161">
        <v>9</v>
      </c>
      <c r="K277" s="161">
        <v>9</v>
      </c>
      <c r="L277" s="160" t="s">
        <v>1057</v>
      </c>
      <c r="M277" s="160" t="s">
        <v>91</v>
      </c>
      <c r="N277" s="160" t="s">
        <v>845</v>
      </c>
      <c r="O277" s="160" t="s">
        <v>1067</v>
      </c>
      <c r="P277" s="160" t="s">
        <v>1059</v>
      </c>
      <c r="Q277" s="160" t="s">
        <v>799</v>
      </c>
      <c r="R277" s="162" t="s">
        <v>1152</v>
      </c>
      <c r="S277" s="160" t="s">
        <v>1069</v>
      </c>
      <c r="T277" s="160" t="s">
        <v>1087</v>
      </c>
      <c r="U277" s="160" t="s">
        <v>805</v>
      </c>
      <c r="V277" s="160" t="s">
        <v>1057</v>
      </c>
    </row>
    <row r="278" spans="2:22" ht="11.25">
      <c r="B278" s="161" t="s">
        <v>1057</v>
      </c>
      <c r="C278" s="161" t="s">
        <v>1057</v>
      </c>
      <c r="D278" s="161" t="s">
        <v>1057</v>
      </c>
      <c r="E278" s="161" t="s">
        <v>1057</v>
      </c>
      <c r="F278" s="161" t="s">
        <v>1057</v>
      </c>
      <c r="G278" s="161" t="s">
        <v>1057</v>
      </c>
      <c r="H278" s="161" t="s">
        <v>1057</v>
      </c>
      <c r="I278" s="161" t="s">
        <v>1057</v>
      </c>
      <c r="J278" s="161">
        <v>8</v>
      </c>
      <c r="K278" s="161">
        <v>8</v>
      </c>
      <c r="L278" s="160" t="s">
        <v>93</v>
      </c>
      <c r="M278" s="160" t="s">
        <v>92</v>
      </c>
      <c r="N278" s="160" t="s">
        <v>815</v>
      </c>
      <c r="O278" s="160" t="s">
        <v>1067</v>
      </c>
      <c r="P278" s="160" t="s">
        <v>1059</v>
      </c>
      <c r="Q278" s="160" t="str">
        <f>CONCATENATE(100+(10*Data!E25)," ft.")</f>
        <v>110 ft.</v>
      </c>
      <c r="R278" s="162" t="s">
        <v>1232</v>
      </c>
      <c r="S278" s="160" t="str">
        <f>CONCATENATE(Data!E25," rnds")</f>
        <v>1 rnds</v>
      </c>
      <c r="T278" s="160" t="s">
        <v>1087</v>
      </c>
      <c r="U278" s="160" t="s">
        <v>801</v>
      </c>
      <c r="V278" s="160" t="s">
        <v>1057</v>
      </c>
    </row>
    <row r="279" spans="2:22" ht="11.25">
      <c r="B279" s="161" t="s">
        <v>1057</v>
      </c>
      <c r="C279" s="161" t="s">
        <v>1057</v>
      </c>
      <c r="D279" s="161" t="s">
        <v>1057</v>
      </c>
      <c r="E279" s="161">
        <v>4</v>
      </c>
      <c r="F279" s="161">
        <v>4</v>
      </c>
      <c r="G279" s="161" t="s">
        <v>1057</v>
      </c>
      <c r="H279" s="161" t="s">
        <v>1057</v>
      </c>
      <c r="I279" s="161" t="s">
        <v>1057</v>
      </c>
      <c r="J279" s="161" t="s">
        <v>1057</v>
      </c>
      <c r="K279" s="161" t="s">
        <v>1057</v>
      </c>
      <c r="L279" s="160" t="s">
        <v>94</v>
      </c>
      <c r="M279" s="160" t="s">
        <v>924</v>
      </c>
      <c r="N279" s="160" t="s">
        <v>826</v>
      </c>
      <c r="O279" s="160" t="s">
        <v>1067</v>
      </c>
      <c r="P279" s="160" t="s">
        <v>1059</v>
      </c>
      <c r="Q279" s="160" t="s">
        <v>799</v>
      </c>
      <c r="R279" s="162" t="s">
        <v>1152</v>
      </c>
      <c r="S279" s="160" t="s">
        <v>1069</v>
      </c>
      <c r="T279" s="160" t="s">
        <v>95</v>
      </c>
      <c r="U279" s="160" t="s">
        <v>805</v>
      </c>
      <c r="V279" s="160" t="s">
        <v>1057</v>
      </c>
    </row>
    <row r="280" spans="2:22" ht="11.25">
      <c r="B280" s="161" t="s">
        <v>1057</v>
      </c>
      <c r="C280" s="161" t="s">
        <v>1057</v>
      </c>
      <c r="D280" s="161" t="s">
        <v>1057</v>
      </c>
      <c r="E280" s="161" t="s">
        <v>1057</v>
      </c>
      <c r="F280" s="161">
        <v>8</v>
      </c>
      <c r="G280" s="161" t="s">
        <v>1057</v>
      </c>
      <c r="H280" s="161" t="s">
        <v>1057</v>
      </c>
      <c r="I280" s="161" t="s">
        <v>1057</v>
      </c>
      <c r="J280" s="161" t="s">
        <v>1057</v>
      </c>
      <c r="K280" s="161" t="s">
        <v>1057</v>
      </c>
      <c r="L280" s="160" t="s">
        <v>1057</v>
      </c>
      <c r="M280" s="160" t="s">
        <v>96</v>
      </c>
      <c r="N280" s="160" t="s">
        <v>826</v>
      </c>
      <c r="O280" s="160" t="s">
        <v>1067</v>
      </c>
      <c r="P280" s="160" t="s">
        <v>1059</v>
      </c>
      <c r="Q280" s="160" t="str">
        <f>CONCATENATE(25+(FLOOR(Data!E25/2,1)*5)," ft.")</f>
        <v>25 ft.</v>
      </c>
      <c r="R280" s="162" t="str">
        <f>CONCATENATE("Target: ",Data!E25," creatures within 30 ft. of each other")</f>
        <v>Target: 1 creatures within 30 ft. of each other</v>
      </c>
      <c r="S280" s="160" t="s">
        <v>1069</v>
      </c>
      <c r="T280" s="160" t="s">
        <v>95</v>
      </c>
      <c r="U280" s="160" t="s">
        <v>805</v>
      </c>
      <c r="V280" s="160" t="s">
        <v>1057</v>
      </c>
    </row>
    <row r="281" spans="2:22" ht="11.25">
      <c r="B281" s="161" t="s">
        <v>1057</v>
      </c>
      <c r="C281" s="161" t="s">
        <v>1057</v>
      </c>
      <c r="D281" s="161" t="s">
        <v>1057</v>
      </c>
      <c r="E281" s="161" t="s">
        <v>1057</v>
      </c>
      <c r="F281" s="161">
        <v>1</v>
      </c>
      <c r="G281" s="161" t="s">
        <v>1057</v>
      </c>
      <c r="H281" s="161" t="s">
        <v>1057</v>
      </c>
      <c r="I281" s="161" t="s">
        <v>1057</v>
      </c>
      <c r="J281" s="161" t="s">
        <v>1057</v>
      </c>
      <c r="K281" s="161" t="s">
        <v>1057</v>
      </c>
      <c r="L281" s="160" t="s">
        <v>1057</v>
      </c>
      <c r="M281" s="160" t="s">
        <v>851</v>
      </c>
      <c r="N281" s="160" t="s">
        <v>845</v>
      </c>
      <c r="O281" s="160" t="s">
        <v>1091</v>
      </c>
      <c r="P281" s="160" t="s">
        <v>1059</v>
      </c>
      <c r="Q281" s="160" t="s">
        <v>799</v>
      </c>
      <c r="R281" s="162" t="s">
        <v>1152</v>
      </c>
      <c r="S281" s="160" t="str">
        <f>CONCATENATE(Data!E25," min.")</f>
        <v>1 min.</v>
      </c>
      <c r="T281" s="160" t="s">
        <v>1153</v>
      </c>
      <c r="U281" s="160" t="s">
        <v>1073</v>
      </c>
      <c r="V281" s="160" t="s">
        <v>1057</v>
      </c>
    </row>
    <row r="282" spans="2:22" ht="11.25">
      <c r="B282" s="161" t="s">
        <v>1057</v>
      </c>
      <c r="C282" s="161" t="s">
        <v>1057</v>
      </c>
      <c r="D282" s="161" t="s">
        <v>1057</v>
      </c>
      <c r="E282" s="161" t="s">
        <v>1057</v>
      </c>
      <c r="F282" s="161">
        <v>5</v>
      </c>
      <c r="G282" s="161" t="s">
        <v>1057</v>
      </c>
      <c r="H282" s="161" t="s">
        <v>1057</v>
      </c>
      <c r="I282" s="161" t="s">
        <v>1057</v>
      </c>
      <c r="J282" s="161" t="s">
        <v>1057</v>
      </c>
      <c r="K282" s="161" t="s">
        <v>1057</v>
      </c>
      <c r="L282" s="160" t="s">
        <v>99</v>
      </c>
      <c r="M282" s="160" t="s">
        <v>98</v>
      </c>
      <c r="N282" s="160" t="s">
        <v>826</v>
      </c>
      <c r="O282" s="160" t="s">
        <v>1067</v>
      </c>
      <c r="P282" s="160" t="s">
        <v>1059</v>
      </c>
      <c r="Q282" s="160" t="str">
        <f>CONCATENATE(25+(FLOOR(Data!E25/2,1)*5)," ft.")</f>
        <v>25 ft.</v>
      </c>
      <c r="R282" s="162" t="str">
        <f>CONCATENATE("Target: ",Data!E25," creatures within 30 ft. of each other")</f>
        <v>Target: 1 creatures within 30 ft. of each other</v>
      </c>
      <c r="S282" s="160" t="s">
        <v>1069</v>
      </c>
      <c r="T282" s="160" t="s">
        <v>95</v>
      </c>
      <c r="U282" s="160" t="s">
        <v>805</v>
      </c>
      <c r="V282" s="160" t="s">
        <v>1057</v>
      </c>
    </row>
    <row r="283" spans="2:22" ht="11.25">
      <c r="B283" s="161" t="s">
        <v>1057</v>
      </c>
      <c r="C283" s="161" t="s">
        <v>1057</v>
      </c>
      <c r="D283" s="161">
        <v>1</v>
      </c>
      <c r="E283" s="161" t="s">
        <v>1057</v>
      </c>
      <c r="F283" s="161" t="s">
        <v>1057</v>
      </c>
      <c r="G283" s="161" t="s">
        <v>1057</v>
      </c>
      <c r="H283" s="161" t="s">
        <v>1057</v>
      </c>
      <c r="I283" s="161" t="s">
        <v>1057</v>
      </c>
      <c r="J283" s="161">
        <v>1</v>
      </c>
      <c r="K283" s="161">
        <v>1</v>
      </c>
      <c r="L283" s="160" t="s">
        <v>1057</v>
      </c>
      <c r="M283" s="160" t="s">
        <v>569</v>
      </c>
      <c r="N283" s="160" t="s">
        <v>1179</v>
      </c>
      <c r="O283" s="160" t="s">
        <v>557</v>
      </c>
      <c r="P283" s="160" t="s">
        <v>1059</v>
      </c>
      <c r="Q283" s="160" t="str">
        <f>CONCATENATE(25+(FLOOR(Data!E25/2,1)*5)," ft.")</f>
        <v>25 ft.</v>
      </c>
      <c r="R283" s="162" t="s">
        <v>570</v>
      </c>
      <c r="S283" s="160" t="str">
        <f>CONCATENATE(Data!E25," min. [D]")</f>
        <v>1 min. [D]</v>
      </c>
      <c r="T283" s="160" t="s">
        <v>1462</v>
      </c>
      <c r="U283" s="160" t="s">
        <v>801</v>
      </c>
      <c r="V283" s="160" t="s">
        <v>1057</v>
      </c>
    </row>
    <row r="284" spans="2:22" ht="11.25">
      <c r="B284" s="161">
        <v>2</v>
      </c>
      <c r="C284" s="161" t="s">
        <v>1057</v>
      </c>
      <c r="D284" s="161" t="s">
        <v>1057</v>
      </c>
      <c r="E284" s="161" t="s">
        <v>1057</v>
      </c>
      <c r="F284" s="161">
        <v>2</v>
      </c>
      <c r="G284" s="161" t="s">
        <v>1057</v>
      </c>
      <c r="H284" s="161" t="s">
        <v>1057</v>
      </c>
      <c r="I284" s="161" t="s">
        <v>1057</v>
      </c>
      <c r="J284" s="161" t="s">
        <v>1057</v>
      </c>
      <c r="K284" s="161" t="s">
        <v>1057</v>
      </c>
      <c r="L284" s="160" t="s">
        <v>1070</v>
      </c>
      <c r="M284" s="160" t="s">
        <v>853</v>
      </c>
      <c r="N284" s="160" t="s">
        <v>804</v>
      </c>
      <c r="O284" s="160" t="s">
        <v>1071</v>
      </c>
      <c r="P284" s="160" t="s">
        <v>1059</v>
      </c>
      <c r="Q284" s="160" t="s">
        <v>799</v>
      </c>
      <c r="R284" s="162" t="s">
        <v>1072</v>
      </c>
      <c r="S284" s="160" t="str">
        <f>CONCATENATE(Data!E25," min.")</f>
        <v>1 min.</v>
      </c>
      <c r="T284" s="160" t="s">
        <v>1061</v>
      </c>
      <c r="U284" s="160" t="s">
        <v>1073</v>
      </c>
      <c r="V284" s="160" t="s">
        <v>1057</v>
      </c>
    </row>
    <row r="285" spans="2:22" ht="11.25">
      <c r="B285" s="161" t="s">
        <v>1057</v>
      </c>
      <c r="C285" s="161" t="s">
        <v>1057</v>
      </c>
      <c r="D285" s="161" t="s">
        <v>1057</v>
      </c>
      <c r="E285" s="161" t="s">
        <v>1057</v>
      </c>
      <c r="F285" s="161">
        <v>6</v>
      </c>
      <c r="G285" s="161" t="s">
        <v>1057</v>
      </c>
      <c r="H285" s="161" t="s">
        <v>1057</v>
      </c>
      <c r="I285" s="161" t="s">
        <v>1057</v>
      </c>
      <c r="J285" s="161" t="s">
        <v>1057</v>
      </c>
      <c r="K285" s="161" t="s">
        <v>1057</v>
      </c>
      <c r="L285" s="160" t="s">
        <v>1057</v>
      </c>
      <c r="M285" s="160" t="s">
        <v>100</v>
      </c>
      <c r="N285" s="160" t="s">
        <v>826</v>
      </c>
      <c r="O285" s="160" t="s">
        <v>1067</v>
      </c>
      <c r="P285" s="160" t="s">
        <v>1059</v>
      </c>
      <c r="Q285" s="160" t="str">
        <f>CONCATENATE(25+(FLOOR(Data!E25/2,1)*5)," ft.")</f>
        <v>25 ft.</v>
      </c>
      <c r="R285" s="162" t="str">
        <f>CONCATENATE("Target: ",Data!E25," creatures within 30 ft. of each other")</f>
        <v>Target: 1 creatures within 30 ft. of each other</v>
      </c>
      <c r="S285" s="160" t="s">
        <v>1069</v>
      </c>
      <c r="T285" s="160" t="s">
        <v>95</v>
      </c>
      <c r="U285" s="160" t="s">
        <v>805</v>
      </c>
      <c r="V285" s="160" t="s">
        <v>1057</v>
      </c>
    </row>
    <row r="286" spans="2:22" ht="11.25">
      <c r="B286" s="161" t="s">
        <v>1057</v>
      </c>
      <c r="C286" s="161" t="s">
        <v>1057</v>
      </c>
      <c r="D286" s="161" t="s">
        <v>1057</v>
      </c>
      <c r="E286" s="161">
        <v>3</v>
      </c>
      <c r="F286" s="161">
        <v>3</v>
      </c>
      <c r="G286" s="161" t="s">
        <v>1057</v>
      </c>
      <c r="H286" s="161" t="s">
        <v>1057</v>
      </c>
      <c r="I286" s="161" t="s">
        <v>1057</v>
      </c>
      <c r="J286" s="161" t="s">
        <v>1057</v>
      </c>
      <c r="K286" s="161" t="s">
        <v>1057</v>
      </c>
      <c r="L286" s="160" t="s">
        <v>1057</v>
      </c>
      <c r="M286" s="160" t="s">
        <v>891</v>
      </c>
      <c r="N286" s="160" t="s">
        <v>826</v>
      </c>
      <c r="O286" s="160" t="s">
        <v>1067</v>
      </c>
      <c r="P286" s="160" t="s">
        <v>1059</v>
      </c>
      <c r="Q286" s="160" t="s">
        <v>799</v>
      </c>
      <c r="R286" s="162" t="s">
        <v>1152</v>
      </c>
      <c r="S286" s="160" t="s">
        <v>1069</v>
      </c>
      <c r="T286" s="160" t="s">
        <v>95</v>
      </c>
      <c r="U286" s="160" t="s">
        <v>805</v>
      </c>
      <c r="V286" s="160" t="s">
        <v>1057</v>
      </c>
    </row>
    <row r="287" spans="2:22" ht="11.25">
      <c r="B287" s="161" t="s">
        <v>1057</v>
      </c>
      <c r="C287" s="161" t="s">
        <v>1057</v>
      </c>
      <c r="D287" s="161" t="s">
        <v>1057</v>
      </c>
      <c r="E287" s="161" t="s">
        <v>1057</v>
      </c>
      <c r="F287" s="161">
        <v>7</v>
      </c>
      <c r="G287" s="161" t="s">
        <v>1057</v>
      </c>
      <c r="H287" s="161" t="s">
        <v>1057</v>
      </c>
      <c r="I287" s="161" t="s">
        <v>1057</v>
      </c>
      <c r="J287" s="161" t="s">
        <v>1057</v>
      </c>
      <c r="K287" s="161" t="s">
        <v>1057</v>
      </c>
      <c r="L287" s="160" t="s">
        <v>1057</v>
      </c>
      <c r="M287" s="160" t="s">
        <v>102</v>
      </c>
      <c r="N287" s="160" t="s">
        <v>826</v>
      </c>
      <c r="O287" s="160" t="s">
        <v>1067</v>
      </c>
      <c r="P287" s="160" t="s">
        <v>1059</v>
      </c>
      <c r="Q287" s="160" t="str">
        <f>CONCATENATE(25+(FLOOR(Data!E25/2,1)*5)," ft.")</f>
        <v>25 ft.</v>
      </c>
      <c r="R287" s="162" t="str">
        <f>CONCATENATE("Target: ",Data!E25," creatures within 30 ft. of each other")</f>
        <v>Target: 1 creatures within 30 ft. of each other</v>
      </c>
      <c r="S287" s="160" t="s">
        <v>1069</v>
      </c>
      <c r="T287" s="160" t="s">
        <v>95</v>
      </c>
      <c r="U287" s="160" t="s">
        <v>805</v>
      </c>
      <c r="V287" s="160" t="s">
        <v>1057</v>
      </c>
    </row>
    <row r="288" spans="2:22" ht="11.25">
      <c r="B288" s="161" t="s">
        <v>1057</v>
      </c>
      <c r="C288" s="161" t="s">
        <v>1057</v>
      </c>
      <c r="D288" s="161" t="s">
        <v>1057</v>
      </c>
      <c r="E288" s="161" t="s">
        <v>1057</v>
      </c>
      <c r="F288" s="161" t="s">
        <v>1057</v>
      </c>
      <c r="G288" s="161" t="s">
        <v>1057</v>
      </c>
      <c r="H288" s="161" t="s">
        <v>1057</v>
      </c>
      <c r="I288" s="161" t="s">
        <v>1057</v>
      </c>
      <c r="J288" s="161">
        <v>7</v>
      </c>
      <c r="K288" s="161">
        <v>7</v>
      </c>
      <c r="L288" s="160" t="s">
        <v>1057</v>
      </c>
      <c r="M288" s="160" t="s">
        <v>103</v>
      </c>
      <c r="N288" s="160" t="s">
        <v>804</v>
      </c>
      <c r="O288" s="160" t="s">
        <v>1067</v>
      </c>
      <c r="P288" s="160" t="s">
        <v>1059</v>
      </c>
      <c r="Q288" s="160" t="str">
        <f>CONCATENATE(100+(10*Data!E25)," ft.")</f>
        <v>110 ft.</v>
      </c>
      <c r="R288" s="162" t="s">
        <v>1156</v>
      </c>
      <c r="S288" s="160" t="s">
        <v>1069</v>
      </c>
      <c r="T288" s="160" t="s">
        <v>1141</v>
      </c>
      <c r="U288" s="160" t="s">
        <v>805</v>
      </c>
      <c r="V288" s="160" t="s">
        <v>1057</v>
      </c>
    </row>
    <row r="289" spans="2:22" ht="11.25">
      <c r="B289" s="161" t="s">
        <v>1057</v>
      </c>
      <c r="C289" s="161" t="s">
        <v>1057</v>
      </c>
      <c r="D289" s="161" t="s">
        <v>1057</v>
      </c>
      <c r="E289" s="161" t="s">
        <v>1057</v>
      </c>
      <c r="F289" s="161">
        <v>5</v>
      </c>
      <c r="G289" s="161">
        <v>5</v>
      </c>
      <c r="H289" s="161" t="s">
        <v>1057</v>
      </c>
      <c r="I289" s="161" t="s">
        <v>1057</v>
      </c>
      <c r="J289" s="161" t="s">
        <v>1057</v>
      </c>
      <c r="K289" s="161" t="s">
        <v>1057</v>
      </c>
      <c r="L289" s="160" t="s">
        <v>1057</v>
      </c>
      <c r="M289" s="160" t="s">
        <v>104</v>
      </c>
      <c r="N289" s="160" t="s">
        <v>815</v>
      </c>
      <c r="O289" s="160" t="s">
        <v>1071</v>
      </c>
      <c r="P289" s="160" t="s">
        <v>1108</v>
      </c>
      <c r="Q289" s="160" t="str">
        <f>CONCATENATE(400+(40*Data!E25)," ft.")</f>
        <v>440 ft.</v>
      </c>
      <c r="R289" s="162" t="str">
        <f>CONCATENATE("Effect: ",FLOOR(Data!E25/3,1)," swarms of locust, each of which must be adjacent to at least one other swarm")</f>
        <v>Effect: 0 swarms of locust, each of which must be adjacent to at least one other swarm</v>
      </c>
      <c r="S289" s="160" t="str">
        <f>CONCATENATE(Data!E25," min.")</f>
        <v>1 min.</v>
      </c>
      <c r="T289" s="160" t="s">
        <v>1061</v>
      </c>
      <c r="U289" s="160" t="s">
        <v>801</v>
      </c>
      <c r="V289" s="160" t="s">
        <v>1057</v>
      </c>
    </row>
    <row r="290" spans="2:22" ht="11.25">
      <c r="B290" s="161" t="s">
        <v>1057</v>
      </c>
      <c r="C290" s="161" t="s">
        <v>1057</v>
      </c>
      <c r="D290" s="161" t="s">
        <v>1057</v>
      </c>
      <c r="E290" s="161" t="s">
        <v>1057</v>
      </c>
      <c r="F290" s="161" t="s">
        <v>1057</v>
      </c>
      <c r="G290" s="161" t="s">
        <v>1057</v>
      </c>
      <c r="H290" s="161" t="s">
        <v>1057</v>
      </c>
      <c r="I290" s="161" t="s">
        <v>1057</v>
      </c>
      <c r="J290" s="161">
        <v>7</v>
      </c>
      <c r="K290" s="161">
        <v>7</v>
      </c>
      <c r="L290" s="160" t="s">
        <v>1057</v>
      </c>
      <c r="M290" s="160" t="s">
        <v>105</v>
      </c>
      <c r="N290" s="160" t="s">
        <v>815</v>
      </c>
      <c r="O290" s="160" t="s">
        <v>1091</v>
      </c>
      <c r="P290" s="160" t="s">
        <v>1059</v>
      </c>
      <c r="Q290" s="160" t="s">
        <v>1087</v>
      </c>
      <c r="R290" s="162" t="s">
        <v>106</v>
      </c>
      <c r="S290" s="160" t="s">
        <v>107</v>
      </c>
      <c r="T290" s="160" t="s">
        <v>1061</v>
      </c>
      <c r="U290" s="160" t="s">
        <v>801</v>
      </c>
      <c r="V290" s="160" t="s">
        <v>1131</v>
      </c>
    </row>
    <row r="291" spans="2:22" ht="11.25">
      <c r="B291" s="161" t="s">
        <v>1057</v>
      </c>
      <c r="C291" s="161" t="s">
        <v>1057</v>
      </c>
      <c r="D291" s="161" t="s">
        <v>1057</v>
      </c>
      <c r="E291" s="161" t="s">
        <v>1057</v>
      </c>
      <c r="F291" s="161" t="s">
        <v>1057</v>
      </c>
      <c r="G291" s="161" t="s">
        <v>1057</v>
      </c>
      <c r="H291" s="161" t="s">
        <v>1057</v>
      </c>
      <c r="I291" s="161" t="s">
        <v>1057</v>
      </c>
      <c r="J291" s="161">
        <v>5</v>
      </c>
      <c r="K291" s="161">
        <v>5</v>
      </c>
      <c r="L291" s="160" t="s">
        <v>1057</v>
      </c>
      <c r="M291" s="160" t="s">
        <v>108</v>
      </c>
      <c r="N291" s="160" t="s">
        <v>1162</v>
      </c>
      <c r="O291" s="160" t="s">
        <v>1086</v>
      </c>
      <c r="P291" s="160" t="s">
        <v>1059</v>
      </c>
      <c r="Q291" s="160" t="str">
        <f>CONCATENATE(100+(10*Data!E25)," ft.")</f>
        <v>110 ft.</v>
      </c>
      <c r="R291" s="162" t="s">
        <v>1225</v>
      </c>
      <c r="S291" s="160" t="str">
        <f>CONCATENATE(Data!E25," rnds [D]")</f>
        <v>1 rnds [D]</v>
      </c>
      <c r="T291" s="160" t="s">
        <v>1061</v>
      </c>
      <c r="U291" s="160" t="s">
        <v>805</v>
      </c>
      <c r="V291" s="160" t="s">
        <v>1057</v>
      </c>
    </row>
    <row r="292" spans="2:22" ht="11.25">
      <c r="B292" s="161" t="s">
        <v>1057</v>
      </c>
      <c r="C292" s="161" t="s">
        <v>1057</v>
      </c>
      <c r="D292" s="161" t="s">
        <v>1057</v>
      </c>
      <c r="E292" s="161" t="s">
        <v>1057</v>
      </c>
      <c r="F292" s="161" t="s">
        <v>1057</v>
      </c>
      <c r="G292" s="161" t="s">
        <v>1057</v>
      </c>
      <c r="H292" s="161" t="s">
        <v>1057</v>
      </c>
      <c r="I292" s="161" t="s">
        <v>1057</v>
      </c>
      <c r="J292" s="161">
        <v>2</v>
      </c>
      <c r="K292" s="161">
        <v>2</v>
      </c>
      <c r="L292" s="160" t="s">
        <v>1057</v>
      </c>
      <c r="M292" s="160" t="s">
        <v>1056</v>
      </c>
      <c r="N292" s="160" t="s">
        <v>815</v>
      </c>
      <c r="O292" s="160" t="s">
        <v>1058</v>
      </c>
      <c r="P292" s="160" t="s">
        <v>1059</v>
      </c>
      <c r="Q292" s="160" t="str">
        <f>CONCATENATE(400+(40*Data!E25)," ft.")</f>
        <v>440 ft.</v>
      </c>
      <c r="R292" s="162" t="s">
        <v>1060</v>
      </c>
      <c r="S292" s="160" t="str">
        <f>CONCATENATE(FLOOR(Data!E25/3,1)+1," rnds")</f>
        <v>1 rnds</v>
      </c>
      <c r="T292" s="160" t="s">
        <v>1061</v>
      </c>
      <c r="U292" s="160" t="s">
        <v>801</v>
      </c>
      <c r="V292" s="160" t="s">
        <v>1057</v>
      </c>
    </row>
    <row r="293" spans="2:22" ht="11.25">
      <c r="B293" s="161" t="s">
        <v>1057</v>
      </c>
      <c r="C293" s="161" t="s">
        <v>1057</v>
      </c>
      <c r="D293" s="161" t="s">
        <v>1057</v>
      </c>
      <c r="E293" s="161" t="s">
        <v>1057</v>
      </c>
      <c r="F293" s="161">
        <v>3</v>
      </c>
      <c r="G293" s="161" t="s">
        <v>1057</v>
      </c>
      <c r="H293" s="161" t="s">
        <v>1057</v>
      </c>
      <c r="I293" s="161" t="s">
        <v>1057</v>
      </c>
      <c r="J293" s="161" t="s">
        <v>1057</v>
      </c>
      <c r="K293" s="161" t="s">
        <v>1057</v>
      </c>
      <c r="L293" s="160" t="s">
        <v>1057</v>
      </c>
      <c r="M293" s="160" t="s">
        <v>892</v>
      </c>
      <c r="N293" s="160" t="s">
        <v>1162</v>
      </c>
      <c r="O293" s="160" t="s">
        <v>1067</v>
      </c>
      <c r="P293" s="160" t="s">
        <v>1059</v>
      </c>
      <c r="Q293" s="160" t="s">
        <v>817</v>
      </c>
      <c r="R293" s="162" t="s">
        <v>1084</v>
      </c>
      <c r="S293" s="160" t="str">
        <f>CONCATENATE(Data!E25," min. [D]")</f>
        <v>1 min. [D]</v>
      </c>
      <c r="T293" s="160" t="s">
        <v>1061</v>
      </c>
      <c r="U293" s="160" t="s">
        <v>801</v>
      </c>
      <c r="V293" s="160" t="s">
        <v>1057</v>
      </c>
    </row>
    <row r="294" spans="2:22" ht="11.25">
      <c r="B294" s="161" t="s">
        <v>1057</v>
      </c>
      <c r="C294" s="161" t="s">
        <v>1057</v>
      </c>
      <c r="D294" s="161">
        <v>3</v>
      </c>
      <c r="E294" s="161" t="s">
        <v>1057</v>
      </c>
      <c r="F294" s="161" t="s">
        <v>1057</v>
      </c>
      <c r="G294" s="161" t="s">
        <v>1057</v>
      </c>
      <c r="H294" s="161" t="s">
        <v>1057</v>
      </c>
      <c r="I294" s="161" t="s">
        <v>1057</v>
      </c>
      <c r="J294" s="161">
        <v>3</v>
      </c>
      <c r="K294" s="161">
        <v>3</v>
      </c>
      <c r="L294" s="160" t="s">
        <v>1057</v>
      </c>
      <c r="M294" s="160" t="s">
        <v>111</v>
      </c>
      <c r="N294" s="160" t="s">
        <v>1179</v>
      </c>
      <c r="O294" s="160" t="s">
        <v>1091</v>
      </c>
      <c r="P294" s="160" t="s">
        <v>1059</v>
      </c>
      <c r="Q294" s="160" t="s">
        <v>799</v>
      </c>
      <c r="R294" s="162" t="s">
        <v>112</v>
      </c>
      <c r="S294" s="160" t="str">
        <f>CONCATENATE(Data!E25," min. [D]")</f>
        <v>1 min. [D]</v>
      </c>
      <c r="T294" s="160" t="s">
        <v>1081</v>
      </c>
      <c r="U294" s="160" t="s">
        <v>1082</v>
      </c>
      <c r="V294" s="160" t="s">
        <v>1057</v>
      </c>
    </row>
    <row r="295" spans="2:22" ht="11.25">
      <c r="B295" s="161" t="s">
        <v>1057</v>
      </c>
      <c r="C295" s="161">
        <v>4</v>
      </c>
      <c r="D295" s="161">
        <v>4</v>
      </c>
      <c r="E295" s="161" t="s">
        <v>1057</v>
      </c>
      <c r="F295" s="161" t="s">
        <v>1057</v>
      </c>
      <c r="G295" s="161" t="s">
        <v>1057</v>
      </c>
      <c r="H295" s="161" t="s">
        <v>1057</v>
      </c>
      <c r="I295" s="161" t="s">
        <v>1057</v>
      </c>
      <c r="J295" s="161">
        <v>4</v>
      </c>
      <c r="K295" s="161">
        <v>4</v>
      </c>
      <c r="L295" s="160" t="s">
        <v>1057</v>
      </c>
      <c r="M295" s="160" t="s">
        <v>113</v>
      </c>
      <c r="N295" s="160" t="s">
        <v>1179</v>
      </c>
      <c r="O295" s="160" t="s">
        <v>1067</v>
      </c>
      <c r="P295" s="160" t="s">
        <v>1059</v>
      </c>
      <c r="Q295" s="160" t="s">
        <v>799</v>
      </c>
      <c r="R295" s="162" t="s">
        <v>114</v>
      </c>
      <c r="S295" s="160" t="str">
        <f>CONCATENATE(Data!E25," rnds [D]")</f>
        <v>1 rnds [D]</v>
      </c>
      <c r="T295" s="160" t="s">
        <v>1153</v>
      </c>
      <c r="U295" s="160" t="s">
        <v>1073</v>
      </c>
      <c r="V295" s="160" t="s">
        <v>1057</v>
      </c>
    </row>
    <row r="296" spans="2:22" ht="11.25">
      <c r="B296" s="161" t="s">
        <v>1057</v>
      </c>
      <c r="C296" s="161" t="s">
        <v>1057</v>
      </c>
      <c r="D296" s="161" t="s">
        <v>1057</v>
      </c>
      <c r="E296" s="161" t="s">
        <v>1057</v>
      </c>
      <c r="F296" s="161" t="s">
        <v>1057</v>
      </c>
      <c r="G296" s="161" t="s">
        <v>1057</v>
      </c>
      <c r="H296" s="161" t="s">
        <v>1057</v>
      </c>
      <c r="I296" s="161" t="s">
        <v>1057</v>
      </c>
      <c r="J296" s="161">
        <v>7</v>
      </c>
      <c r="K296" s="161">
        <v>7</v>
      </c>
      <c r="L296" s="160" t="s">
        <v>1057</v>
      </c>
      <c r="M296" s="160" t="s">
        <v>115</v>
      </c>
      <c r="N296" s="160" t="s">
        <v>1179</v>
      </c>
      <c r="O296" s="160" t="s">
        <v>1091</v>
      </c>
      <c r="P296" s="160" t="s">
        <v>1059</v>
      </c>
      <c r="Q296" s="160" t="str">
        <f>CONCATENATE(400+(40*Data!E25)," ft.")</f>
        <v>440 ft.</v>
      </c>
      <c r="R296" s="162" t="s">
        <v>116</v>
      </c>
      <c r="S296" s="160" t="str">
        <f>CONCATENATE(Data!E25," min. [D]")</f>
        <v>1 min. [D]</v>
      </c>
      <c r="T296" s="160" t="s">
        <v>1081</v>
      </c>
      <c r="U296" s="160" t="s">
        <v>1082</v>
      </c>
      <c r="V296" s="160" t="s">
        <v>1057</v>
      </c>
    </row>
    <row r="297" spans="2:22" ht="11.25">
      <c r="B297" s="161" t="s">
        <v>1057</v>
      </c>
      <c r="C297" s="161" t="s">
        <v>1057</v>
      </c>
      <c r="D297" s="161" t="s">
        <v>1057</v>
      </c>
      <c r="E297" s="161" t="s">
        <v>1057</v>
      </c>
      <c r="F297" s="161" t="s">
        <v>1057</v>
      </c>
      <c r="G297" s="161" t="s">
        <v>1057</v>
      </c>
      <c r="H297" s="161" t="s">
        <v>1057</v>
      </c>
      <c r="I297" s="161" t="s">
        <v>1057</v>
      </c>
      <c r="J297" s="161">
        <v>8</v>
      </c>
      <c r="K297" s="161">
        <v>8</v>
      </c>
      <c r="L297" s="160" t="s">
        <v>118</v>
      </c>
      <c r="M297" s="160" t="s">
        <v>117</v>
      </c>
      <c r="N297" s="160" t="s">
        <v>811</v>
      </c>
      <c r="O297" s="160" t="s">
        <v>1064</v>
      </c>
      <c r="P297" s="160" t="s">
        <v>1059</v>
      </c>
      <c r="Q297" s="160" t="s">
        <v>817</v>
      </c>
      <c r="R297" s="162" t="s">
        <v>1084</v>
      </c>
      <c r="S297" s="160" t="str">
        <f>CONCATENATE(Data!E25," min. [D]")</f>
        <v>1 min. [D]</v>
      </c>
      <c r="T297" s="160" t="s">
        <v>1061</v>
      </c>
      <c r="U297" s="160" t="s">
        <v>801</v>
      </c>
      <c r="V297" s="160" t="s">
        <v>1057</v>
      </c>
    </row>
    <row r="298" spans="2:22" ht="11.25">
      <c r="B298" s="161" t="s">
        <v>1057</v>
      </c>
      <c r="C298" s="161" t="s">
        <v>1057</v>
      </c>
      <c r="D298" s="161" t="s">
        <v>1057</v>
      </c>
      <c r="E298" s="161" t="s">
        <v>1057</v>
      </c>
      <c r="F298" s="161" t="s">
        <v>1057</v>
      </c>
      <c r="G298" s="161">
        <v>6</v>
      </c>
      <c r="H298" s="161" t="s">
        <v>1057</v>
      </c>
      <c r="I298" s="161" t="s">
        <v>1057</v>
      </c>
      <c r="J298" s="161" t="s">
        <v>1057</v>
      </c>
      <c r="K298" s="161" t="s">
        <v>1057</v>
      </c>
      <c r="L298" s="160" t="s">
        <v>1057</v>
      </c>
      <c r="M298" s="160" t="s">
        <v>119</v>
      </c>
      <c r="N298" s="160" t="s">
        <v>811</v>
      </c>
      <c r="O298" s="160" t="s">
        <v>1091</v>
      </c>
      <c r="P298" s="160" t="s">
        <v>120</v>
      </c>
      <c r="Q298" s="160" t="s">
        <v>1124</v>
      </c>
      <c r="R298" s="162" t="str">
        <f>CONCATENATE("Effect: An ironwood object weighing up to ",Data!E25*50," lbs")</f>
        <v>Effect: An ironwood object weighing up to 50 lbs</v>
      </c>
      <c r="S298" s="160" t="str">
        <f>CONCATENATE(Data!E25," days [D]")</f>
        <v>1 days [D]</v>
      </c>
      <c r="T298" s="160" t="s">
        <v>1061</v>
      </c>
      <c r="U298" s="160" t="s">
        <v>801</v>
      </c>
      <c r="V298" s="160" t="s">
        <v>1057</v>
      </c>
    </row>
    <row r="299" spans="2:22" ht="11.25">
      <c r="B299" s="161" t="s">
        <v>1057</v>
      </c>
      <c r="C299" s="161" t="s">
        <v>1057</v>
      </c>
      <c r="D299" s="161">
        <v>6</v>
      </c>
      <c r="E299" s="161" t="s">
        <v>1057</v>
      </c>
      <c r="F299" s="161" t="s">
        <v>1057</v>
      </c>
      <c r="G299" s="161" t="s">
        <v>1057</v>
      </c>
      <c r="H299" s="161" t="s">
        <v>1057</v>
      </c>
      <c r="I299" s="161" t="s">
        <v>1057</v>
      </c>
      <c r="J299" s="161">
        <v>8</v>
      </c>
      <c r="K299" s="161">
        <v>8</v>
      </c>
      <c r="L299" s="160" t="s">
        <v>1057</v>
      </c>
      <c r="M299" s="160" t="s">
        <v>121</v>
      </c>
      <c r="N299" s="160" t="s">
        <v>804</v>
      </c>
      <c r="O299" s="160" t="s">
        <v>1104</v>
      </c>
      <c r="P299" s="160" t="s">
        <v>1059</v>
      </c>
      <c r="Q299" s="160" t="s">
        <v>799</v>
      </c>
      <c r="R299" s="162" t="s">
        <v>1072</v>
      </c>
      <c r="S299" s="160" t="s">
        <v>122</v>
      </c>
      <c r="T299" s="160" t="s">
        <v>1061</v>
      </c>
      <c r="U299" s="160" t="s">
        <v>805</v>
      </c>
      <c r="V299" s="160" t="s">
        <v>1057</v>
      </c>
    </row>
    <row r="300" spans="2:22" ht="11.25">
      <c r="B300" s="161" t="s">
        <v>1057</v>
      </c>
      <c r="C300" s="161">
        <v>2</v>
      </c>
      <c r="D300" s="161">
        <v>2</v>
      </c>
      <c r="E300" s="161" t="s">
        <v>1057</v>
      </c>
      <c r="F300" s="161" t="s">
        <v>1057</v>
      </c>
      <c r="G300" s="161" t="s">
        <v>1057</v>
      </c>
      <c r="H300" s="161" t="s">
        <v>1057</v>
      </c>
      <c r="I300" s="161" t="s">
        <v>1057</v>
      </c>
      <c r="J300" s="161">
        <v>2</v>
      </c>
      <c r="K300" s="161">
        <v>2</v>
      </c>
      <c r="L300" s="160" t="s">
        <v>1057</v>
      </c>
      <c r="M300" s="160" t="s">
        <v>1083</v>
      </c>
      <c r="N300" s="160" t="s">
        <v>811</v>
      </c>
      <c r="O300" s="160" t="s">
        <v>1067</v>
      </c>
      <c r="P300" s="160" t="s">
        <v>1059</v>
      </c>
      <c r="Q300" s="160" t="s">
        <v>817</v>
      </c>
      <c r="R300" s="162" t="s">
        <v>1084</v>
      </c>
      <c r="S300" s="160" t="str">
        <f>CONCATENATE(Data!E25*10," min. [D]")</f>
        <v>10 min. [D]</v>
      </c>
      <c r="T300" s="160" t="s">
        <v>1061</v>
      </c>
      <c r="U300" s="160" t="s">
        <v>801</v>
      </c>
      <c r="V300" s="160" t="s">
        <v>1057</v>
      </c>
    </row>
    <row r="301" spans="2:22" ht="11.25">
      <c r="B301" s="161" t="s">
        <v>1057</v>
      </c>
      <c r="C301" s="161" t="s">
        <v>1057</v>
      </c>
      <c r="D301" s="161" t="s">
        <v>1057</v>
      </c>
      <c r="E301" s="161" t="s">
        <v>1057</v>
      </c>
      <c r="F301" s="161" t="s">
        <v>1057</v>
      </c>
      <c r="G301" s="161" t="s">
        <v>1057</v>
      </c>
      <c r="H301" s="161" t="s">
        <v>1057</v>
      </c>
      <c r="I301" s="161" t="s">
        <v>1057</v>
      </c>
      <c r="J301" s="161">
        <v>3</v>
      </c>
      <c r="K301" s="161">
        <v>3</v>
      </c>
      <c r="L301" s="160" t="s">
        <v>1057</v>
      </c>
      <c r="M301" s="160" t="s">
        <v>123</v>
      </c>
      <c r="N301" s="160" t="s">
        <v>811</v>
      </c>
      <c r="O301" s="160" t="s">
        <v>1067</v>
      </c>
      <c r="P301" s="160" t="s">
        <v>1059</v>
      </c>
      <c r="Q301" s="160" t="str">
        <f>CONCATENATE(25+(FLOOR(Data!E25/2,1)*5)," ft.")</f>
        <v>25 ft.</v>
      </c>
      <c r="R301" s="162" t="s">
        <v>124</v>
      </c>
      <c r="S301" s="160" t="str">
        <f>CONCATENATE(Data!E25*10," min.")</f>
        <v>10 min.</v>
      </c>
      <c r="T301" s="160" t="s">
        <v>1081</v>
      </c>
      <c r="U301" s="160" t="s">
        <v>1082</v>
      </c>
      <c r="V301" s="160" t="s">
        <v>1057</v>
      </c>
    </row>
    <row r="302" spans="2:22" ht="11.25">
      <c r="B302" s="161" t="s">
        <v>1057</v>
      </c>
      <c r="C302" s="161" t="s">
        <v>1057</v>
      </c>
      <c r="D302" s="161" t="s">
        <v>1057</v>
      </c>
      <c r="E302" s="161" t="s">
        <v>1057</v>
      </c>
      <c r="F302" s="161" t="s">
        <v>1057</v>
      </c>
      <c r="G302" s="161" t="s">
        <v>1057</v>
      </c>
      <c r="H302" s="161" t="s">
        <v>1057</v>
      </c>
      <c r="I302" s="161" t="s">
        <v>1057</v>
      </c>
      <c r="J302" s="161">
        <v>2</v>
      </c>
      <c r="K302" s="161">
        <v>2</v>
      </c>
      <c r="L302" s="160" t="s">
        <v>1057</v>
      </c>
      <c r="M302" s="160" t="s">
        <v>1121</v>
      </c>
      <c r="N302" s="160" t="s">
        <v>845</v>
      </c>
      <c r="O302" s="160" t="s">
        <v>1091</v>
      </c>
      <c r="P302" s="160" t="s">
        <v>1059</v>
      </c>
      <c r="Q302" s="160" t="s">
        <v>799</v>
      </c>
      <c r="R302" s="162" t="str">
        <f>CONCATENATE("Target: The door, chest, or portal touched, up to ",Data!E25*30," sq. ft in size")</f>
        <v>Target: The door, chest, or portal touched, up to 30 sq. ft in size</v>
      </c>
      <c r="S302" s="160" t="s">
        <v>800</v>
      </c>
      <c r="T302" s="160" t="s">
        <v>1061</v>
      </c>
      <c r="U302" s="160" t="s">
        <v>801</v>
      </c>
      <c r="V302" s="160" t="s">
        <v>1122</v>
      </c>
    </row>
    <row r="303" spans="2:22" ht="11.25">
      <c r="B303" s="161" t="s">
        <v>1057</v>
      </c>
      <c r="C303" s="161" t="s">
        <v>1057</v>
      </c>
      <c r="D303" s="161">
        <v>0</v>
      </c>
      <c r="E303" s="161" t="s">
        <v>1057</v>
      </c>
      <c r="F303" s="161" t="s">
        <v>1057</v>
      </c>
      <c r="G303" s="161">
        <v>0</v>
      </c>
      <c r="H303" s="161" t="s">
        <v>1057</v>
      </c>
      <c r="I303" s="161" t="s">
        <v>1057</v>
      </c>
      <c r="J303" s="161" t="s">
        <v>1057</v>
      </c>
      <c r="K303" s="161" t="s">
        <v>1057</v>
      </c>
      <c r="L303" s="160" t="s">
        <v>1057</v>
      </c>
      <c r="M303" s="160" t="s">
        <v>126</v>
      </c>
      <c r="N303" s="160" t="s">
        <v>822</v>
      </c>
      <c r="O303" s="160" t="s">
        <v>1067</v>
      </c>
      <c r="P303" s="160" t="s">
        <v>1059</v>
      </c>
      <c r="Q303" s="160" t="s">
        <v>817</v>
      </c>
      <c r="R303" s="162" t="s">
        <v>1084</v>
      </c>
      <c r="S303" s="160" t="s">
        <v>1069</v>
      </c>
      <c r="T303" s="160" t="s">
        <v>1061</v>
      </c>
      <c r="U303" s="160" t="s">
        <v>801</v>
      </c>
      <c r="V303" s="160" t="s">
        <v>1057</v>
      </c>
    </row>
    <row r="304" spans="2:22" ht="11.25">
      <c r="B304" s="161" t="s">
        <v>1057</v>
      </c>
      <c r="C304" s="161" t="s">
        <v>1057</v>
      </c>
      <c r="D304" s="161">
        <v>4</v>
      </c>
      <c r="E304" s="161" t="s">
        <v>1057</v>
      </c>
      <c r="F304" s="161" t="s">
        <v>1057</v>
      </c>
      <c r="G304" s="161" t="s">
        <v>1057</v>
      </c>
      <c r="H304" s="161" t="s">
        <v>1057</v>
      </c>
      <c r="I304" s="161" t="s">
        <v>1057</v>
      </c>
      <c r="J304" s="161">
        <v>6</v>
      </c>
      <c r="K304" s="161">
        <v>6</v>
      </c>
      <c r="L304" s="160" t="s">
        <v>128</v>
      </c>
      <c r="M304" s="160" t="s">
        <v>127</v>
      </c>
      <c r="N304" s="160" t="s">
        <v>822</v>
      </c>
      <c r="O304" s="160" t="s">
        <v>1058</v>
      </c>
      <c r="P304" s="160" t="s">
        <v>1087</v>
      </c>
      <c r="Q304" s="160" t="s">
        <v>817</v>
      </c>
      <c r="R304" s="162" t="s">
        <v>1084</v>
      </c>
      <c r="S304" s="160" t="s">
        <v>1087</v>
      </c>
      <c r="T304" s="160" t="s">
        <v>1061</v>
      </c>
      <c r="U304" s="160" t="s">
        <v>801</v>
      </c>
      <c r="V304" s="160" t="s">
        <v>1057</v>
      </c>
    </row>
    <row r="305" spans="2:22" ht="11.25">
      <c r="B305" s="161" t="s">
        <v>1057</v>
      </c>
      <c r="C305" s="161" t="s">
        <v>1057</v>
      </c>
      <c r="D305" s="161">
        <v>2</v>
      </c>
      <c r="E305" s="161" t="s">
        <v>1057</v>
      </c>
      <c r="F305" s="161">
        <v>3</v>
      </c>
      <c r="G305" s="161" t="s">
        <v>1057</v>
      </c>
      <c r="H305" s="161" t="s">
        <v>1057</v>
      </c>
      <c r="I305" s="161" t="s">
        <v>1057</v>
      </c>
      <c r="J305" s="161">
        <v>2</v>
      </c>
      <c r="K305" s="161">
        <v>2</v>
      </c>
      <c r="L305" s="160" t="s">
        <v>1057</v>
      </c>
      <c r="M305" s="160" t="s">
        <v>1175</v>
      </c>
      <c r="N305" s="160" t="s">
        <v>826</v>
      </c>
      <c r="O305" s="160" t="s">
        <v>1104</v>
      </c>
      <c r="P305" s="160" t="s">
        <v>1059</v>
      </c>
      <c r="Q305" s="160" t="str">
        <f>CONCATENATE(100+(10*Data!E25)," ft.")</f>
        <v>110 ft.</v>
      </c>
      <c r="R305" s="162" t="s">
        <v>1156</v>
      </c>
      <c r="S305" s="160" t="s">
        <v>1176</v>
      </c>
      <c r="T305" s="160" t="s">
        <v>1090</v>
      </c>
      <c r="U305" s="160" t="s">
        <v>805</v>
      </c>
      <c r="V305" s="160" t="s">
        <v>1057</v>
      </c>
    </row>
    <row r="306" spans="2:22" ht="11.25">
      <c r="B306" s="161" t="s">
        <v>1057</v>
      </c>
      <c r="C306" s="161" t="s">
        <v>1057</v>
      </c>
      <c r="D306" s="161" t="s">
        <v>1057</v>
      </c>
      <c r="E306" s="161" t="s">
        <v>1057</v>
      </c>
      <c r="F306" s="161">
        <v>2</v>
      </c>
      <c r="G306" s="161" t="s">
        <v>1057</v>
      </c>
      <c r="H306" s="161" t="s">
        <v>1057</v>
      </c>
      <c r="I306" s="161" t="s">
        <v>1057</v>
      </c>
      <c r="J306" s="161" t="s">
        <v>1057</v>
      </c>
      <c r="K306" s="161" t="s">
        <v>1057</v>
      </c>
      <c r="L306" s="160" t="s">
        <v>1057</v>
      </c>
      <c r="M306" s="160" t="s">
        <v>1079</v>
      </c>
      <c r="N306" s="160" t="s">
        <v>811</v>
      </c>
      <c r="O306" s="160" t="s">
        <v>1071</v>
      </c>
      <c r="P306" s="160" t="s">
        <v>1059</v>
      </c>
      <c r="Q306" s="160" t="s">
        <v>799</v>
      </c>
      <c r="R306" s="162" t="s">
        <v>1080</v>
      </c>
      <c r="S306" s="160" t="str">
        <f>CONCATENATE(Data!E25," min.")</f>
        <v>1 min.</v>
      </c>
      <c r="T306" s="160" t="s">
        <v>1081</v>
      </c>
      <c r="U306" s="160" t="s">
        <v>1082</v>
      </c>
      <c r="V306" s="160" t="s">
        <v>1057</v>
      </c>
    </row>
    <row r="307" spans="2:22" ht="11.25">
      <c r="B307" s="161">
        <v>3</v>
      </c>
      <c r="C307" s="161" t="s">
        <v>1057</v>
      </c>
      <c r="D307" s="161" t="s">
        <v>1057</v>
      </c>
      <c r="E307" s="161" t="s">
        <v>1057</v>
      </c>
      <c r="F307" s="161" t="s">
        <v>1057</v>
      </c>
      <c r="G307" s="161" t="s">
        <v>1057</v>
      </c>
      <c r="H307" s="161" t="s">
        <v>1057</v>
      </c>
      <c r="I307" s="161" t="s">
        <v>1057</v>
      </c>
      <c r="J307" s="161">
        <v>3</v>
      </c>
      <c r="K307" s="161">
        <v>3</v>
      </c>
      <c r="L307" s="160" t="s">
        <v>1057</v>
      </c>
      <c r="M307" s="160" t="s">
        <v>130</v>
      </c>
      <c r="N307" s="160" t="s">
        <v>1162</v>
      </c>
      <c r="O307" s="160" t="s">
        <v>1091</v>
      </c>
      <c r="P307" s="160" t="s">
        <v>1059</v>
      </c>
      <c r="Q307" s="160" t="s">
        <v>131</v>
      </c>
      <c r="R307" s="162" t="s">
        <v>132</v>
      </c>
      <c r="S307" s="160" t="s">
        <v>1069</v>
      </c>
      <c r="T307" s="160" t="s">
        <v>1188</v>
      </c>
      <c r="U307" s="160" t="s">
        <v>805</v>
      </c>
      <c r="V307" s="160" t="s">
        <v>1057</v>
      </c>
    </row>
    <row r="308" spans="2:22" ht="11.25">
      <c r="B308" s="161" t="s">
        <v>1057</v>
      </c>
      <c r="C308" s="161" t="s">
        <v>1057</v>
      </c>
      <c r="D308" s="161" t="s">
        <v>1057</v>
      </c>
      <c r="E308" s="161" t="s">
        <v>1057</v>
      </c>
      <c r="F308" s="161" t="s">
        <v>1057</v>
      </c>
      <c r="G308" s="161" t="s">
        <v>1057</v>
      </c>
      <c r="H308" s="161" t="s">
        <v>1057</v>
      </c>
      <c r="I308" s="161" t="s">
        <v>1057</v>
      </c>
      <c r="J308" s="161">
        <v>7</v>
      </c>
      <c r="K308" s="161">
        <v>7</v>
      </c>
      <c r="L308" s="160" t="s">
        <v>1057</v>
      </c>
      <c r="M308" s="160" t="s">
        <v>133</v>
      </c>
      <c r="N308" s="160" t="s">
        <v>1123</v>
      </c>
      <c r="O308" s="160" t="s">
        <v>134</v>
      </c>
      <c r="P308" s="160" t="s">
        <v>1059</v>
      </c>
      <c r="Q308" s="160" t="s">
        <v>1087</v>
      </c>
      <c r="R308" s="162" t="s">
        <v>1450</v>
      </c>
      <c r="S308" s="160" t="s">
        <v>1087</v>
      </c>
      <c r="T308" s="160" t="s">
        <v>1087</v>
      </c>
      <c r="U308" s="160" t="s">
        <v>805</v>
      </c>
      <c r="V308" s="160" t="s">
        <v>135</v>
      </c>
    </row>
    <row r="309" spans="2:22" ht="11.25">
      <c r="B309" s="161" t="s">
        <v>1057</v>
      </c>
      <c r="C309" s="161" t="s">
        <v>1057</v>
      </c>
      <c r="D309" s="161" t="s">
        <v>1057</v>
      </c>
      <c r="E309" s="161" t="s">
        <v>1057</v>
      </c>
      <c r="F309" s="161" t="s">
        <v>1057</v>
      </c>
      <c r="G309" s="161">
        <v>6</v>
      </c>
      <c r="H309" s="161" t="s">
        <v>1057</v>
      </c>
      <c r="I309" s="161" t="s">
        <v>1057</v>
      </c>
      <c r="J309" s="161" t="s">
        <v>1057</v>
      </c>
      <c r="K309" s="161" t="s">
        <v>1057</v>
      </c>
      <c r="L309" s="160" t="s">
        <v>1057</v>
      </c>
      <c r="M309" s="160" t="s">
        <v>136</v>
      </c>
      <c r="N309" s="160" t="s">
        <v>811</v>
      </c>
      <c r="O309" s="160" t="s">
        <v>1067</v>
      </c>
      <c r="P309" s="160" t="s">
        <v>1118</v>
      </c>
      <c r="Q309" s="160" t="s">
        <v>799</v>
      </c>
      <c r="R309" s="162" t="s">
        <v>137</v>
      </c>
      <c r="S309" s="160" t="str">
        <f>CONCATENATE(Data!E25," days [D]")</f>
        <v>1 days [D]</v>
      </c>
      <c r="T309" s="160" t="s">
        <v>1061</v>
      </c>
      <c r="U309" s="160" t="s">
        <v>801</v>
      </c>
      <c r="V309" s="160" t="s">
        <v>1057</v>
      </c>
    </row>
    <row r="310" spans="2:22" ht="11.25">
      <c r="B310" s="161" t="s">
        <v>1057</v>
      </c>
      <c r="C310" s="161">
        <v>4</v>
      </c>
      <c r="D310" s="161">
        <v>4</v>
      </c>
      <c r="E310" s="161" t="s">
        <v>1057</v>
      </c>
      <c r="F310" s="161" t="s">
        <v>1057</v>
      </c>
      <c r="G310" s="161" t="s">
        <v>1057</v>
      </c>
      <c r="H310" s="161" t="s">
        <v>1057</v>
      </c>
      <c r="I310" s="161" t="s">
        <v>1057</v>
      </c>
      <c r="J310" s="161">
        <v>4</v>
      </c>
      <c r="K310" s="161">
        <v>4</v>
      </c>
      <c r="L310" s="160" t="s">
        <v>1057</v>
      </c>
      <c r="M310" s="160" t="s">
        <v>138</v>
      </c>
      <c r="N310" s="160" t="s">
        <v>822</v>
      </c>
      <c r="O310" s="160" t="s">
        <v>1091</v>
      </c>
      <c r="P310" s="160" t="s">
        <v>1059</v>
      </c>
      <c r="Q310" s="160" t="str">
        <f>CONCATENATE(400+(40*Data!E25)," ft.")</f>
        <v>440 ft.</v>
      </c>
      <c r="R310" s="162" t="str">
        <f>CONCATENATE("Area: Circle, centered on you, with a radius of ",400+(Data!E25*40)," ft.")</f>
        <v>Area: Circle, centered on you, with a radius of 440 ft.</v>
      </c>
      <c r="S310" s="160" t="str">
        <f>CONCATENATE(Data!E25*10," min.")</f>
        <v>10 min.</v>
      </c>
      <c r="T310" s="160" t="s">
        <v>1061</v>
      </c>
      <c r="U310" s="160" t="s">
        <v>801</v>
      </c>
      <c r="V310" s="160" t="s">
        <v>1057</v>
      </c>
    </row>
    <row r="311" spans="2:22" ht="11.25">
      <c r="B311" s="161" t="s">
        <v>1057</v>
      </c>
      <c r="C311" s="161" t="s">
        <v>1057</v>
      </c>
      <c r="D311" s="161">
        <v>2</v>
      </c>
      <c r="E311" s="161" t="s">
        <v>1057</v>
      </c>
      <c r="F311" s="161" t="s">
        <v>1057</v>
      </c>
      <c r="G311" s="161" t="s">
        <v>1057</v>
      </c>
      <c r="H311" s="161" t="s">
        <v>1057</v>
      </c>
      <c r="I311" s="161" t="s">
        <v>1057</v>
      </c>
      <c r="J311" s="161">
        <v>2</v>
      </c>
      <c r="K311" s="161">
        <v>2</v>
      </c>
      <c r="L311" s="160" t="s">
        <v>1057</v>
      </c>
      <c r="M311" s="160" t="s">
        <v>1178</v>
      </c>
      <c r="N311" s="160" t="s">
        <v>1179</v>
      </c>
      <c r="O311" s="160" t="s">
        <v>1104</v>
      </c>
      <c r="P311" s="160" t="s">
        <v>1059</v>
      </c>
      <c r="Q311" s="160" t="s">
        <v>799</v>
      </c>
      <c r="R311" s="162" t="s">
        <v>1152</v>
      </c>
      <c r="S311" s="160" t="str">
        <f>CONCATENATE(Data!E25," min. [D]")</f>
        <v>1 min. [D]</v>
      </c>
      <c r="T311" s="160" t="s">
        <v>1153</v>
      </c>
      <c r="U311" s="160" t="s">
        <v>1073</v>
      </c>
      <c r="V311" s="160" t="s">
        <v>1057</v>
      </c>
    </row>
    <row r="312" spans="2:22" ht="11.25">
      <c r="B312" s="161" t="s">
        <v>1057</v>
      </c>
      <c r="C312" s="161" t="s">
        <v>1057</v>
      </c>
      <c r="D312" s="161" t="s">
        <v>1057</v>
      </c>
      <c r="E312" s="161" t="s">
        <v>1057</v>
      </c>
      <c r="F312" s="161" t="s">
        <v>1057</v>
      </c>
      <c r="G312" s="161">
        <v>1</v>
      </c>
      <c r="H312" s="161" t="s">
        <v>1057</v>
      </c>
      <c r="I312" s="161">
        <v>1</v>
      </c>
      <c r="J312" s="161" t="s">
        <v>1057</v>
      </c>
      <c r="K312" s="161" t="s">
        <v>1057</v>
      </c>
      <c r="L312" s="160" t="s">
        <v>141</v>
      </c>
      <c r="M312" s="160" t="s">
        <v>140</v>
      </c>
      <c r="N312" s="160" t="s">
        <v>811</v>
      </c>
      <c r="O312" s="160" t="s">
        <v>1091</v>
      </c>
      <c r="P312" s="160" t="s">
        <v>1059</v>
      </c>
      <c r="Q312" s="160" t="s">
        <v>817</v>
      </c>
      <c r="R312" s="162" t="s">
        <v>1084</v>
      </c>
      <c r="S312" s="160" t="str">
        <f>CONCATENATE(Data!E25," hours [D]")</f>
        <v>1 hours [D]</v>
      </c>
      <c r="T312" s="160" t="s">
        <v>1061</v>
      </c>
      <c r="U312" s="160" t="s">
        <v>801</v>
      </c>
      <c r="V312" s="160" t="s">
        <v>1057</v>
      </c>
    </row>
    <row r="313" spans="2:22" ht="11.25">
      <c r="B313" s="161" t="s">
        <v>1057</v>
      </c>
      <c r="C313" s="161" t="s">
        <v>1057</v>
      </c>
      <c r="D313" s="161">
        <v>0</v>
      </c>
      <c r="E313" s="161" t="s">
        <v>1057</v>
      </c>
      <c r="F313" s="161" t="s">
        <v>1057</v>
      </c>
      <c r="G313" s="161" t="s">
        <v>1057</v>
      </c>
      <c r="H313" s="161" t="s">
        <v>1057</v>
      </c>
      <c r="I313" s="161" t="s">
        <v>1057</v>
      </c>
      <c r="J313" s="161" t="s">
        <v>1057</v>
      </c>
      <c r="K313" s="161" t="s">
        <v>1057</v>
      </c>
      <c r="L313" s="160" t="s">
        <v>1057</v>
      </c>
      <c r="M313" s="160" t="s">
        <v>142</v>
      </c>
      <c r="N313" s="160" t="s">
        <v>804</v>
      </c>
      <c r="O313" s="160" t="s">
        <v>1067</v>
      </c>
      <c r="P313" s="160" t="s">
        <v>1059</v>
      </c>
      <c r="Q313" s="160" t="str">
        <f>CONCATENATE(100+(10*Data!E25)," ft.")</f>
        <v>110 ft.</v>
      </c>
      <c r="R313" s="162" t="s">
        <v>143</v>
      </c>
      <c r="S313" s="160" t="str">
        <f>CONCATENATE("Con. + ",Data!E25," rnds [D]")</f>
        <v>Con. + 1 rnds [D]</v>
      </c>
      <c r="T313" s="160" t="s">
        <v>1141</v>
      </c>
      <c r="U313" s="160" t="s">
        <v>805</v>
      </c>
      <c r="V313" s="160" t="s">
        <v>1057</v>
      </c>
    </row>
    <row r="314" spans="2:22" ht="11.25">
      <c r="B314" s="161">
        <v>2</v>
      </c>
      <c r="C314" s="161">
        <v>2</v>
      </c>
      <c r="D314" s="161">
        <v>2</v>
      </c>
      <c r="E314" s="161" t="s">
        <v>1057</v>
      </c>
      <c r="F314" s="161" t="s">
        <v>1057</v>
      </c>
      <c r="G314" s="161">
        <v>2</v>
      </c>
      <c r="H314" s="161" t="s">
        <v>1057</v>
      </c>
      <c r="I314" s="161">
        <v>2</v>
      </c>
      <c r="J314" s="161">
        <v>2</v>
      </c>
      <c r="K314" s="161">
        <v>2</v>
      </c>
      <c r="L314" s="160" t="s">
        <v>1057</v>
      </c>
      <c r="M314" s="160" t="s">
        <v>1197</v>
      </c>
      <c r="N314" s="160" t="s">
        <v>811</v>
      </c>
      <c r="O314" s="160" t="s">
        <v>1091</v>
      </c>
      <c r="P314" s="160" t="s">
        <v>1059</v>
      </c>
      <c r="Q314" s="160" t="s">
        <v>799</v>
      </c>
      <c r="R314" s="162" t="s">
        <v>1152</v>
      </c>
      <c r="S314" s="160" t="str">
        <f>CONCATENATE(Data!E25," min.")</f>
        <v>1 min.</v>
      </c>
      <c r="T314" s="160" t="s">
        <v>1153</v>
      </c>
      <c r="U314" s="160" t="s">
        <v>805</v>
      </c>
      <c r="V314" s="160" t="s">
        <v>1057</v>
      </c>
    </row>
    <row r="315" spans="2:22" ht="11.25">
      <c r="B315" s="161" t="s">
        <v>1057</v>
      </c>
      <c r="C315" s="161" t="s">
        <v>1057</v>
      </c>
      <c r="D315" s="161" t="s">
        <v>1057</v>
      </c>
      <c r="E315" s="161" t="s">
        <v>1057</v>
      </c>
      <c r="F315" s="161" t="s">
        <v>1057</v>
      </c>
      <c r="G315" s="161" t="s">
        <v>1057</v>
      </c>
      <c r="H315" s="161" t="s">
        <v>1057</v>
      </c>
      <c r="I315" s="161" t="s">
        <v>1057</v>
      </c>
      <c r="J315" s="161">
        <v>2</v>
      </c>
      <c r="K315" s="161">
        <v>2</v>
      </c>
      <c r="L315" s="160" t="s">
        <v>1057</v>
      </c>
      <c r="M315" s="160" t="s">
        <v>1236</v>
      </c>
      <c r="N315" s="160" t="s">
        <v>826</v>
      </c>
      <c r="O315" s="160" t="s">
        <v>1091</v>
      </c>
      <c r="P315" s="160" t="s">
        <v>1059</v>
      </c>
      <c r="Q315" s="160" t="str">
        <f>CONCATENATE(25+(FLOOR(Data!E25/2,1)*5)," ft.")</f>
        <v>25 ft.</v>
      </c>
      <c r="R315" s="162" t="s">
        <v>1237</v>
      </c>
      <c r="S315" s="160" t="str">
        <f>CONCATENATE(Data!E25," days")</f>
        <v>1 days</v>
      </c>
      <c r="T315" s="160" t="s">
        <v>1087</v>
      </c>
      <c r="U315" s="160" t="s">
        <v>805</v>
      </c>
      <c r="V315" s="160" t="s">
        <v>1057</v>
      </c>
    </row>
    <row r="316" spans="2:22" ht="11.25">
      <c r="B316" s="161" t="s">
        <v>1057</v>
      </c>
      <c r="C316" s="161" t="s">
        <v>1057</v>
      </c>
      <c r="D316" s="161" t="s">
        <v>1057</v>
      </c>
      <c r="E316" s="161" t="s">
        <v>1057</v>
      </c>
      <c r="F316" s="161" t="s">
        <v>1057</v>
      </c>
      <c r="G316" s="161" t="s">
        <v>1057</v>
      </c>
      <c r="H316" s="161" t="s">
        <v>1057</v>
      </c>
      <c r="I316" s="161" t="s">
        <v>1057</v>
      </c>
      <c r="J316" s="161">
        <v>9</v>
      </c>
      <c r="K316" s="161">
        <v>9</v>
      </c>
      <c r="L316" s="160" t="s">
        <v>147</v>
      </c>
      <c r="M316" s="160" t="s">
        <v>146</v>
      </c>
      <c r="N316" s="160" t="s">
        <v>845</v>
      </c>
      <c r="O316" s="160" t="s">
        <v>1104</v>
      </c>
      <c r="P316" s="160" t="s">
        <v>1059</v>
      </c>
      <c r="Q316" s="160" t="str">
        <f>CONCATENATE(25+(FLOOR(Data!E25/2,1)*5)," ft.")</f>
        <v>25 ft.</v>
      </c>
      <c r="R316" s="162" t="s">
        <v>148</v>
      </c>
      <c r="S316" s="160" t="s">
        <v>1069</v>
      </c>
      <c r="T316" s="160" t="s">
        <v>1169</v>
      </c>
      <c r="U316" s="160" t="s">
        <v>801</v>
      </c>
      <c r="V316" s="160" t="s">
        <v>1057</v>
      </c>
    </row>
    <row r="317" spans="2:22" ht="11.25">
      <c r="B317" s="161" t="s">
        <v>1057</v>
      </c>
      <c r="C317" s="161" t="s">
        <v>1057</v>
      </c>
      <c r="D317" s="161" t="s">
        <v>1057</v>
      </c>
      <c r="E317" s="161" t="s">
        <v>1057</v>
      </c>
      <c r="F317" s="161" t="s">
        <v>1057</v>
      </c>
      <c r="G317" s="161" t="s">
        <v>1057</v>
      </c>
      <c r="H317" s="161" t="s">
        <v>1057</v>
      </c>
      <c r="I317" s="161" t="s">
        <v>1057</v>
      </c>
      <c r="J317" s="161">
        <v>5</v>
      </c>
      <c r="K317" s="161">
        <v>5</v>
      </c>
      <c r="L317" s="160" t="s">
        <v>1057</v>
      </c>
      <c r="M317" s="160" t="s">
        <v>149</v>
      </c>
      <c r="N317" s="160" t="s">
        <v>815</v>
      </c>
      <c r="O317" s="160" t="s">
        <v>1091</v>
      </c>
      <c r="P317" s="160" t="s">
        <v>1059</v>
      </c>
      <c r="Q317" s="160" t="str">
        <f>CONCATENATE(25+(FLOOR(Data!E25/2,1)*5)," ft.")</f>
        <v>25 ft.</v>
      </c>
      <c r="R317" s="162" t="s">
        <v>150</v>
      </c>
      <c r="S317" s="160" t="s">
        <v>1087</v>
      </c>
      <c r="T317" s="160" t="s">
        <v>1061</v>
      </c>
      <c r="U317" s="160" t="s">
        <v>801</v>
      </c>
      <c r="V317" s="160" t="s">
        <v>1057</v>
      </c>
    </row>
    <row r="318" spans="2:22" ht="11.25">
      <c r="B318" s="161" t="s">
        <v>1057</v>
      </c>
      <c r="C318" s="161" t="s">
        <v>1057</v>
      </c>
      <c r="D318" s="161" t="s">
        <v>1057</v>
      </c>
      <c r="E318" s="161" t="s">
        <v>1057</v>
      </c>
      <c r="F318" s="161" t="s">
        <v>1057</v>
      </c>
      <c r="G318" s="161" t="s">
        <v>1057</v>
      </c>
      <c r="H318" s="161" t="s">
        <v>1057</v>
      </c>
      <c r="I318" s="161" t="s">
        <v>1057</v>
      </c>
      <c r="J318" s="161" t="s">
        <v>1057</v>
      </c>
      <c r="K318" s="161">
        <v>6</v>
      </c>
      <c r="L318" s="160" t="s">
        <v>1057</v>
      </c>
      <c r="M318" s="160" t="s">
        <v>151</v>
      </c>
      <c r="N318" s="160" t="s">
        <v>811</v>
      </c>
      <c r="O318" s="160" t="s">
        <v>1067</v>
      </c>
      <c r="P318" s="160" t="s">
        <v>1059</v>
      </c>
      <c r="Q318" s="160" t="s">
        <v>817</v>
      </c>
      <c r="R318" s="162" t="s">
        <v>1084</v>
      </c>
      <c r="S318" s="160" t="s">
        <v>1069</v>
      </c>
      <c r="T318" s="160" t="s">
        <v>1061</v>
      </c>
      <c r="U318" s="160" t="s">
        <v>801</v>
      </c>
      <c r="V318" s="160" t="s">
        <v>1057</v>
      </c>
    </row>
    <row r="319" spans="2:22" ht="11.25">
      <c r="B319" s="161" t="s">
        <v>1057</v>
      </c>
      <c r="C319" s="161" t="s">
        <v>1057</v>
      </c>
      <c r="D319" s="161" t="s">
        <v>1057</v>
      </c>
      <c r="E319" s="161" t="s">
        <v>1057</v>
      </c>
      <c r="F319" s="161" t="s">
        <v>1057</v>
      </c>
      <c r="G319" s="161" t="s">
        <v>1057</v>
      </c>
      <c r="H319" s="161" t="s">
        <v>1057</v>
      </c>
      <c r="I319" s="161" t="s">
        <v>1057</v>
      </c>
      <c r="J319" s="161">
        <v>7</v>
      </c>
      <c r="K319" s="161">
        <v>7</v>
      </c>
      <c r="L319" s="160" t="s">
        <v>1057</v>
      </c>
      <c r="M319" s="160" t="s">
        <v>152</v>
      </c>
      <c r="N319" s="160" t="s">
        <v>815</v>
      </c>
      <c r="O319" s="160" t="s">
        <v>1086</v>
      </c>
      <c r="P319" s="160" t="s">
        <v>1059</v>
      </c>
      <c r="Q319" s="160" t="str">
        <f>CONCATENATE(25+(FLOOR(Data!E25/2,1)*5)," ft.")</f>
        <v>25 ft.</v>
      </c>
      <c r="R319" s="162" t="str">
        <f>CONCATENATE("Effect: Extradimensional mansion, up to ",Data!E25*3," 10-ft. cubes (S)")</f>
        <v>Effect: Extradimensional mansion, up to 3 10-ft. cubes (S)</v>
      </c>
      <c r="S319" s="160" t="str">
        <f>CONCATENATE(Data!E25*2," hourss [D]")</f>
        <v>2 hourss [D]</v>
      </c>
      <c r="T319" s="160" t="s">
        <v>1061</v>
      </c>
      <c r="U319" s="160" t="s">
        <v>801</v>
      </c>
      <c r="V319" s="160" t="s">
        <v>153</v>
      </c>
    </row>
    <row r="320" spans="2:22" ht="11.25">
      <c r="B320" s="161" t="s">
        <v>1057</v>
      </c>
      <c r="C320" s="161" t="s">
        <v>1057</v>
      </c>
      <c r="D320" s="161" t="s">
        <v>1057</v>
      </c>
      <c r="E320" s="161" t="s">
        <v>1057</v>
      </c>
      <c r="F320" s="161" t="s">
        <v>1057</v>
      </c>
      <c r="G320" s="161" t="s">
        <v>1057</v>
      </c>
      <c r="H320" s="161" t="s">
        <v>1057</v>
      </c>
      <c r="I320" s="161" t="s">
        <v>1057</v>
      </c>
      <c r="J320" s="161">
        <v>5</v>
      </c>
      <c r="K320" s="161">
        <v>5</v>
      </c>
      <c r="L320" s="160" t="s">
        <v>1057</v>
      </c>
      <c r="M320" s="160" t="s">
        <v>154</v>
      </c>
      <c r="N320" s="160" t="s">
        <v>845</v>
      </c>
      <c r="O320" s="160" t="s">
        <v>1091</v>
      </c>
      <c r="P320" s="160" t="s">
        <v>1118</v>
      </c>
      <c r="Q320" s="160" t="str">
        <f>CONCATENATE(25+(FLOOR(Data!E25/2,1)*5)," ft.")</f>
        <v>25 ft.</v>
      </c>
      <c r="R320" s="162" t="str">
        <f>CONCATENATE("Area: ",Data!E25*30," ft. cube (S)")</f>
        <v>Area: 30 ft. cube (S)</v>
      </c>
      <c r="S320" s="160" t="s">
        <v>155</v>
      </c>
      <c r="T320" s="160" t="s">
        <v>1061</v>
      </c>
      <c r="U320" s="160" t="s">
        <v>801</v>
      </c>
      <c r="V320" s="160" t="s">
        <v>1057</v>
      </c>
    </row>
    <row r="321" spans="2:22" ht="11.25">
      <c r="B321" s="161" t="s">
        <v>1057</v>
      </c>
      <c r="C321" s="161" t="s">
        <v>1057</v>
      </c>
      <c r="D321" s="161" t="s">
        <v>1057</v>
      </c>
      <c r="E321" s="161" t="s">
        <v>1057</v>
      </c>
      <c r="F321" s="161" t="s">
        <v>1057</v>
      </c>
      <c r="G321" s="161" t="s">
        <v>1057</v>
      </c>
      <c r="H321" s="161" t="s">
        <v>1057</v>
      </c>
      <c r="I321" s="161" t="s">
        <v>1057</v>
      </c>
      <c r="J321" s="161">
        <v>7</v>
      </c>
      <c r="K321" s="161">
        <v>7</v>
      </c>
      <c r="L321" s="160" t="s">
        <v>1057</v>
      </c>
      <c r="M321" s="160" t="s">
        <v>156</v>
      </c>
      <c r="N321" s="160" t="s">
        <v>1162</v>
      </c>
      <c r="O321" s="160" t="s">
        <v>1086</v>
      </c>
      <c r="P321" s="160" t="s">
        <v>1059</v>
      </c>
      <c r="Q321" s="160" t="str">
        <f>CONCATENATE(25+(FLOOR(Data!E25/2,1)*5)," ft.")</f>
        <v>25 ft.</v>
      </c>
      <c r="R321" s="162" t="s">
        <v>157</v>
      </c>
      <c r="S321" s="160" t="str">
        <f>CONCATENATE(Data!E25," rnds [D]")</f>
        <v>1 rnds [D]</v>
      </c>
      <c r="T321" s="160" t="s">
        <v>1061</v>
      </c>
      <c r="U321" s="160" t="s">
        <v>805</v>
      </c>
      <c r="V321" s="160" t="s">
        <v>1400</v>
      </c>
    </row>
    <row r="322" spans="2:22" ht="11.25">
      <c r="B322" s="161">
        <v>3</v>
      </c>
      <c r="C322" s="161" t="s">
        <v>1057</v>
      </c>
      <c r="D322" s="161" t="s">
        <v>1057</v>
      </c>
      <c r="E322" s="161" t="s">
        <v>1057</v>
      </c>
      <c r="F322" s="161">
        <v>3</v>
      </c>
      <c r="G322" s="161" t="s">
        <v>1057</v>
      </c>
      <c r="H322" s="161" t="s">
        <v>1057</v>
      </c>
      <c r="I322" s="161" t="s">
        <v>1057</v>
      </c>
      <c r="J322" s="161">
        <v>2</v>
      </c>
      <c r="K322" s="161">
        <v>2</v>
      </c>
      <c r="L322" s="160" t="s">
        <v>1057</v>
      </c>
      <c r="M322" s="160" t="s">
        <v>883</v>
      </c>
      <c r="N322" s="160" t="s">
        <v>1162</v>
      </c>
      <c r="O322" s="160" t="s">
        <v>1091</v>
      </c>
      <c r="P322" s="160" t="s">
        <v>1059</v>
      </c>
      <c r="Q322" s="160" t="s">
        <v>799</v>
      </c>
      <c r="R322" s="162" t="s">
        <v>1256</v>
      </c>
      <c r="S322" s="160" t="s">
        <v>800</v>
      </c>
      <c r="T322" s="160" t="s">
        <v>1061</v>
      </c>
      <c r="U322" s="160" t="s">
        <v>801</v>
      </c>
      <c r="V322" s="160" t="s">
        <v>1136</v>
      </c>
    </row>
    <row r="323" spans="2:22" ht="11.25">
      <c r="B323" s="161" t="s">
        <v>1057</v>
      </c>
      <c r="C323" s="161" t="s">
        <v>1057</v>
      </c>
      <c r="D323" s="161" t="s">
        <v>1057</v>
      </c>
      <c r="E323" s="161" t="s">
        <v>1057</v>
      </c>
      <c r="F323" s="161">
        <v>3</v>
      </c>
      <c r="G323" s="161" t="s">
        <v>1057</v>
      </c>
      <c r="H323" s="161">
        <v>3</v>
      </c>
      <c r="I323" s="161" t="s">
        <v>1057</v>
      </c>
      <c r="J323" s="161">
        <v>3</v>
      </c>
      <c r="K323" s="161">
        <v>3</v>
      </c>
      <c r="L323" s="160" t="s">
        <v>160</v>
      </c>
      <c r="M323" s="160" t="s">
        <v>894</v>
      </c>
      <c r="N323" s="160" t="s">
        <v>845</v>
      </c>
      <c r="O323" s="160" t="s">
        <v>1064</v>
      </c>
      <c r="P323" s="160" t="s">
        <v>1059</v>
      </c>
      <c r="Q323" s="160" t="s">
        <v>799</v>
      </c>
      <c r="R323" s="162" t="s">
        <v>161</v>
      </c>
      <c r="S323" s="160" t="str">
        <f>CONCATENATE(Data!E25*10," min.")</f>
        <v>10 min.</v>
      </c>
      <c r="T323" s="160" t="s">
        <v>1153</v>
      </c>
      <c r="U323" s="160" t="s">
        <v>1087</v>
      </c>
      <c r="V323" s="160" t="s">
        <v>1057</v>
      </c>
    </row>
    <row r="324" spans="2:22" ht="11.25">
      <c r="B324" s="161" t="s">
        <v>1057</v>
      </c>
      <c r="C324" s="161" t="s">
        <v>1057</v>
      </c>
      <c r="D324" s="161" t="s">
        <v>1057</v>
      </c>
      <c r="E324" s="161" t="s">
        <v>1057</v>
      </c>
      <c r="F324" s="161">
        <v>3</v>
      </c>
      <c r="G324" s="161" t="s">
        <v>1057</v>
      </c>
      <c r="H324" s="161">
        <v>3</v>
      </c>
      <c r="I324" s="161" t="s">
        <v>1057</v>
      </c>
      <c r="J324" s="161">
        <v>3</v>
      </c>
      <c r="K324" s="161">
        <v>3</v>
      </c>
      <c r="L324" s="160" t="s">
        <v>162</v>
      </c>
      <c r="M324" s="160" t="s">
        <v>895</v>
      </c>
      <c r="N324" s="160" t="s">
        <v>845</v>
      </c>
      <c r="O324" s="160" t="s">
        <v>1064</v>
      </c>
      <c r="P324" s="160" t="s">
        <v>1059</v>
      </c>
      <c r="Q324" s="160" t="s">
        <v>799</v>
      </c>
      <c r="R324" s="162" t="s">
        <v>161</v>
      </c>
      <c r="S324" s="160" t="str">
        <f>CONCATENATE(Data!E25*10," min.")</f>
        <v>10 min.</v>
      </c>
      <c r="T324" s="160" t="s">
        <v>1153</v>
      </c>
      <c r="U324" s="160" t="s">
        <v>1087</v>
      </c>
      <c r="V324" s="160" t="s">
        <v>1057</v>
      </c>
    </row>
    <row r="325" spans="2:22" ht="11.25">
      <c r="B325" s="161" t="s">
        <v>1057</v>
      </c>
      <c r="C325" s="161">
        <v>3</v>
      </c>
      <c r="D325" s="161" t="s">
        <v>1057</v>
      </c>
      <c r="E325" s="161" t="s">
        <v>1057</v>
      </c>
      <c r="F325" s="161">
        <v>3</v>
      </c>
      <c r="G325" s="161" t="s">
        <v>1057</v>
      </c>
      <c r="H325" s="161" t="s">
        <v>1057</v>
      </c>
      <c r="I325" s="161" t="s">
        <v>1057</v>
      </c>
      <c r="J325" s="161">
        <v>3</v>
      </c>
      <c r="K325" s="161">
        <v>3</v>
      </c>
      <c r="L325" s="160" t="s">
        <v>163</v>
      </c>
      <c r="M325" s="160" t="s">
        <v>896</v>
      </c>
      <c r="N325" s="160" t="s">
        <v>845</v>
      </c>
      <c r="O325" s="160" t="s">
        <v>1064</v>
      </c>
      <c r="P325" s="160" t="s">
        <v>1059</v>
      </c>
      <c r="Q325" s="160" t="s">
        <v>799</v>
      </c>
      <c r="R325" s="162" t="s">
        <v>161</v>
      </c>
      <c r="S325" s="160" t="str">
        <f>CONCATENATE(Data!E25*10," min.")</f>
        <v>10 min.</v>
      </c>
      <c r="T325" s="160" t="s">
        <v>1153</v>
      </c>
      <c r="U325" s="160" t="s">
        <v>1087</v>
      </c>
      <c r="V325" s="160" t="s">
        <v>1057</v>
      </c>
    </row>
    <row r="326" spans="2:22" ht="11.25">
      <c r="B326" s="161" t="s">
        <v>1057</v>
      </c>
      <c r="C326" s="161" t="s">
        <v>1057</v>
      </c>
      <c r="D326" s="161" t="s">
        <v>1057</v>
      </c>
      <c r="E326" s="161" t="s">
        <v>1057</v>
      </c>
      <c r="F326" s="161">
        <v>3</v>
      </c>
      <c r="G326" s="161" t="s">
        <v>1057</v>
      </c>
      <c r="H326" s="161" t="s">
        <v>1057</v>
      </c>
      <c r="I326" s="161" t="s">
        <v>1057</v>
      </c>
      <c r="J326" s="161">
        <v>3</v>
      </c>
      <c r="K326" s="161">
        <v>3</v>
      </c>
      <c r="L326" s="160" t="s">
        <v>164</v>
      </c>
      <c r="M326" s="160" t="s">
        <v>897</v>
      </c>
      <c r="N326" s="160" t="s">
        <v>845</v>
      </c>
      <c r="O326" s="160" t="s">
        <v>1064</v>
      </c>
      <c r="P326" s="160" t="s">
        <v>1059</v>
      </c>
      <c r="Q326" s="160" t="s">
        <v>799</v>
      </c>
      <c r="R326" s="162" t="s">
        <v>161</v>
      </c>
      <c r="S326" s="160" t="str">
        <f>CONCATENATE(Data!E25*10," min.")</f>
        <v>10 min.</v>
      </c>
      <c r="T326" s="160" t="s">
        <v>1153</v>
      </c>
      <c r="U326" s="160" t="s">
        <v>1087</v>
      </c>
      <c r="V326" s="160" t="s">
        <v>1057</v>
      </c>
    </row>
    <row r="327" spans="2:22" ht="11.25">
      <c r="B327" s="161" t="s">
        <v>1057</v>
      </c>
      <c r="C327" s="161" t="s">
        <v>1057</v>
      </c>
      <c r="D327" s="161" t="s">
        <v>1057</v>
      </c>
      <c r="E327" s="161" t="s">
        <v>1057</v>
      </c>
      <c r="F327" s="161" t="s">
        <v>1057</v>
      </c>
      <c r="G327" s="161">
        <v>1</v>
      </c>
      <c r="H327" s="161" t="s">
        <v>1057</v>
      </c>
      <c r="I327" s="161">
        <v>1</v>
      </c>
      <c r="J327" s="161" t="s">
        <v>1057</v>
      </c>
      <c r="K327" s="161" t="s">
        <v>1057</v>
      </c>
      <c r="L327" s="160" t="s">
        <v>1057</v>
      </c>
      <c r="M327" s="160" t="s">
        <v>165</v>
      </c>
      <c r="N327" s="160" t="s">
        <v>811</v>
      </c>
      <c r="O327" s="160" t="s">
        <v>1071</v>
      </c>
      <c r="P327" s="160" t="s">
        <v>1059</v>
      </c>
      <c r="Q327" s="160" t="s">
        <v>799</v>
      </c>
      <c r="R327" s="162" t="s">
        <v>1072</v>
      </c>
      <c r="S327" s="160" t="str">
        <f>CONCATENATE(Data!E25," min.")</f>
        <v>1 min.</v>
      </c>
      <c r="T327" s="160" t="s">
        <v>1153</v>
      </c>
      <c r="U327" s="160" t="s">
        <v>1073</v>
      </c>
      <c r="V327" s="160" t="s">
        <v>1057</v>
      </c>
    </row>
    <row r="328" spans="2:22" ht="11.25">
      <c r="B328" s="161" t="s">
        <v>1057</v>
      </c>
      <c r="C328" s="161" t="s">
        <v>1057</v>
      </c>
      <c r="D328" s="161" t="s">
        <v>1057</v>
      </c>
      <c r="E328" s="161" t="s">
        <v>1057</v>
      </c>
      <c r="F328" s="161" t="s">
        <v>1057</v>
      </c>
      <c r="G328" s="161">
        <v>3</v>
      </c>
      <c r="H328" s="161" t="s">
        <v>1057</v>
      </c>
      <c r="I328" s="161">
        <v>3</v>
      </c>
      <c r="J328" s="161" t="s">
        <v>1057</v>
      </c>
      <c r="K328" s="161" t="s">
        <v>1057</v>
      </c>
      <c r="L328" s="160" t="s">
        <v>1057</v>
      </c>
      <c r="M328" s="160" t="s">
        <v>166</v>
      </c>
      <c r="N328" s="160" t="s">
        <v>811</v>
      </c>
      <c r="O328" s="160" t="s">
        <v>1071</v>
      </c>
      <c r="P328" s="160" t="s">
        <v>1059</v>
      </c>
      <c r="Q328" s="160" t="str">
        <f>CONCATENATE(25+(FLOOR(Data!E25/2,1)*5)," ft.")</f>
        <v>25 ft.</v>
      </c>
      <c r="R328" s="162" t="s">
        <v>1156</v>
      </c>
      <c r="S328" s="160" t="str">
        <f>CONCATENATE(Data!E25," hours")</f>
        <v>1 hours</v>
      </c>
      <c r="T328" s="160" t="s">
        <v>1153</v>
      </c>
      <c r="U328" s="160" t="s">
        <v>1073</v>
      </c>
      <c r="V328" s="160" t="s">
        <v>1057</v>
      </c>
    </row>
    <row r="329" spans="2:22" ht="11.25">
      <c r="B329" s="161" t="s">
        <v>1057</v>
      </c>
      <c r="C329" s="161" t="s">
        <v>1057</v>
      </c>
      <c r="D329" s="161" t="s">
        <v>1057</v>
      </c>
      <c r="E329" s="161" t="s">
        <v>1057</v>
      </c>
      <c r="F329" s="161" t="s">
        <v>1057</v>
      </c>
      <c r="G329" s="161" t="s">
        <v>1057</v>
      </c>
      <c r="H329" s="161" t="s">
        <v>1057</v>
      </c>
      <c r="I329" s="161" t="s">
        <v>1057</v>
      </c>
      <c r="J329" s="161">
        <v>5</v>
      </c>
      <c r="K329" s="161">
        <v>5</v>
      </c>
      <c r="L329" s="160" t="s">
        <v>1057</v>
      </c>
      <c r="M329" s="160" t="s">
        <v>167</v>
      </c>
      <c r="N329" s="160" t="s">
        <v>826</v>
      </c>
      <c r="O329" s="160" t="s">
        <v>1086</v>
      </c>
      <c r="P329" s="160" t="s">
        <v>1059</v>
      </c>
      <c r="Q329" s="160" t="str">
        <f>CONCATENATE(100+(10*Data!E25)," ft.")</f>
        <v>110 ft.</v>
      </c>
      <c r="R329" s="162" t="s">
        <v>1144</v>
      </c>
      <c r="S329" s="160" t="str">
        <f>CONCATENATE(Data!E25," hours")</f>
        <v>1 hours</v>
      </c>
      <c r="T329" s="160" t="s">
        <v>1087</v>
      </c>
      <c r="U329" s="160" t="s">
        <v>805</v>
      </c>
      <c r="V329" s="160" t="s">
        <v>80</v>
      </c>
    </row>
    <row r="330" spans="2:22" ht="11.25">
      <c r="B330" s="161" t="s">
        <v>1057</v>
      </c>
      <c r="C330" s="161" t="s">
        <v>1057</v>
      </c>
      <c r="D330" s="161" t="s">
        <v>1057</v>
      </c>
      <c r="E330" s="161" t="s">
        <v>1057</v>
      </c>
      <c r="F330" s="161" t="s">
        <v>1057</v>
      </c>
      <c r="G330" s="161" t="s">
        <v>1057</v>
      </c>
      <c r="H330" s="161" t="s">
        <v>1057</v>
      </c>
      <c r="I330" s="161">
        <v>3</v>
      </c>
      <c r="J330" s="161">
        <v>2</v>
      </c>
      <c r="K330" s="161">
        <v>2</v>
      </c>
      <c r="L330" s="160" t="s">
        <v>1057</v>
      </c>
      <c r="M330" s="160" t="s">
        <v>1291</v>
      </c>
      <c r="N330" s="160" t="s">
        <v>811</v>
      </c>
      <c r="O330" s="160" t="s">
        <v>1091</v>
      </c>
      <c r="P330" s="160" t="s">
        <v>1059</v>
      </c>
      <c r="Q330" s="160" t="s">
        <v>799</v>
      </c>
      <c r="R330" s="162" t="s">
        <v>1152</v>
      </c>
      <c r="S330" s="160" t="str">
        <f>CONCATENATE(Data!E25," hours")</f>
        <v>1 hours</v>
      </c>
      <c r="T330" s="160" t="s">
        <v>1153</v>
      </c>
      <c r="U330" s="160" t="s">
        <v>1073</v>
      </c>
      <c r="V330" s="160" t="s">
        <v>1057</v>
      </c>
    </row>
    <row r="331" spans="2:22" ht="11.25">
      <c r="B331" s="161" t="s">
        <v>1057</v>
      </c>
      <c r="C331" s="161" t="s">
        <v>1057</v>
      </c>
      <c r="D331" s="161">
        <v>2</v>
      </c>
      <c r="E331" s="161" t="s">
        <v>1057</v>
      </c>
      <c r="F331" s="161" t="s">
        <v>1057</v>
      </c>
      <c r="G331" s="161" t="s">
        <v>1057</v>
      </c>
      <c r="H331" s="161" t="s">
        <v>1057</v>
      </c>
      <c r="I331" s="161" t="s">
        <v>1057</v>
      </c>
      <c r="J331" s="161">
        <v>2</v>
      </c>
      <c r="K331" s="161">
        <v>2</v>
      </c>
      <c r="L331" s="160" t="s">
        <v>1057</v>
      </c>
      <c r="M331" s="160" t="s">
        <v>1293</v>
      </c>
      <c r="N331" s="160" t="s">
        <v>804</v>
      </c>
      <c r="O331" s="160" t="s">
        <v>1091</v>
      </c>
      <c r="P331" s="160" t="s">
        <v>1059</v>
      </c>
      <c r="Q331" s="160" t="str">
        <f>CONCATENATE(100+(10*Data!E25)," ft.")</f>
        <v>110 ft.</v>
      </c>
      <c r="R331" s="162" t="s">
        <v>1294</v>
      </c>
      <c r="S331" s="160" t="s">
        <v>1108</v>
      </c>
      <c r="T331" s="160" t="s">
        <v>1141</v>
      </c>
      <c r="U331" s="160" t="s">
        <v>805</v>
      </c>
      <c r="V331" s="160" t="s">
        <v>1057</v>
      </c>
    </row>
    <row r="332" spans="2:22" ht="11.25">
      <c r="B332" s="161" t="s">
        <v>1057</v>
      </c>
      <c r="C332" s="161" t="s">
        <v>1057</v>
      </c>
      <c r="D332" s="161" t="s">
        <v>1057</v>
      </c>
      <c r="E332" s="161" t="s">
        <v>1057</v>
      </c>
      <c r="F332" s="161">
        <v>2</v>
      </c>
      <c r="G332" s="161" t="s">
        <v>1057</v>
      </c>
      <c r="H332" s="161" t="s">
        <v>1057</v>
      </c>
      <c r="I332" s="161" t="s">
        <v>1057</v>
      </c>
      <c r="J332" s="161" t="s">
        <v>1057</v>
      </c>
      <c r="K332" s="161" t="s">
        <v>1057</v>
      </c>
      <c r="L332" s="160" t="s">
        <v>1057</v>
      </c>
      <c r="M332" s="160" t="s">
        <v>855</v>
      </c>
      <c r="N332" s="160" t="s">
        <v>822</v>
      </c>
      <c r="O332" s="160" t="s">
        <v>1058</v>
      </c>
      <c r="P332" s="160" t="s">
        <v>1135</v>
      </c>
      <c r="Q332" s="160" t="s">
        <v>817</v>
      </c>
      <c r="R332" s="162" t="s">
        <v>1084</v>
      </c>
      <c r="S332" s="160" t="s">
        <v>1069</v>
      </c>
      <c r="T332" s="160" t="s">
        <v>1061</v>
      </c>
      <c r="U332" s="160" t="s">
        <v>801</v>
      </c>
      <c r="V332" s="160" t="s">
        <v>1136</v>
      </c>
    </row>
    <row r="333" spans="2:22" ht="11.25">
      <c r="B333" s="161" t="s">
        <v>1057</v>
      </c>
      <c r="C333" s="161" t="s">
        <v>1057</v>
      </c>
      <c r="D333" s="161" t="s">
        <v>1057</v>
      </c>
      <c r="E333" s="161" t="s">
        <v>1057</v>
      </c>
      <c r="F333" s="161">
        <v>3</v>
      </c>
      <c r="G333" s="161" t="s">
        <v>1057</v>
      </c>
      <c r="H333" s="161" t="s">
        <v>1057</v>
      </c>
      <c r="I333" s="161" t="s">
        <v>1057</v>
      </c>
      <c r="J333" s="161" t="s">
        <v>1057</v>
      </c>
      <c r="K333" s="161" t="s">
        <v>1057</v>
      </c>
      <c r="L333" s="160" t="s">
        <v>174</v>
      </c>
      <c r="M333" s="160" t="s">
        <v>898</v>
      </c>
      <c r="N333" s="160" t="s">
        <v>811</v>
      </c>
      <c r="O333" s="160" t="s">
        <v>1071</v>
      </c>
      <c r="P333" s="160" t="s">
        <v>1059</v>
      </c>
      <c r="Q333" s="160" t="s">
        <v>799</v>
      </c>
      <c r="R333" s="162" t="s">
        <v>175</v>
      </c>
      <c r="S333" s="160" t="str">
        <f>CONCATENATE(Data!E25," hours")</f>
        <v>1 hours</v>
      </c>
      <c r="T333" s="160" t="s">
        <v>1081</v>
      </c>
      <c r="U333" s="160" t="s">
        <v>1082</v>
      </c>
      <c r="V333" s="160" t="s">
        <v>1057</v>
      </c>
    </row>
    <row r="334" spans="2:22" ht="11.25">
      <c r="B334" s="161" t="s">
        <v>1057</v>
      </c>
      <c r="C334" s="161" t="s">
        <v>1057</v>
      </c>
      <c r="D334" s="161">
        <v>2</v>
      </c>
      <c r="E334" s="161" t="s">
        <v>1057</v>
      </c>
      <c r="F334" s="161" t="s">
        <v>1057</v>
      </c>
      <c r="G334" s="161" t="s">
        <v>1057</v>
      </c>
      <c r="H334" s="161" t="s">
        <v>1057</v>
      </c>
      <c r="I334" s="161" t="s">
        <v>1057</v>
      </c>
      <c r="J334" s="161">
        <v>2</v>
      </c>
      <c r="K334" s="161">
        <v>2</v>
      </c>
      <c r="L334" s="160" t="s">
        <v>1316</v>
      </c>
      <c r="M334" s="160" t="s">
        <v>1315</v>
      </c>
      <c r="N334" s="160" t="s">
        <v>822</v>
      </c>
      <c r="O334" s="160" t="s">
        <v>1077</v>
      </c>
      <c r="P334" s="160" t="s">
        <v>1059</v>
      </c>
      <c r="Q334" s="160" t="s">
        <v>1246</v>
      </c>
      <c r="R334" s="162" t="s">
        <v>1297</v>
      </c>
      <c r="S334" s="160" t="str">
        <f>CONCATENATE("Con., up to ",Data!E25," min. [D]")</f>
        <v>Con., up to 1 min. [D]</v>
      </c>
      <c r="T334" s="160" t="s">
        <v>1087</v>
      </c>
      <c r="U334" s="160" t="s">
        <v>801</v>
      </c>
      <c r="V334" s="160" t="s">
        <v>1057</v>
      </c>
    </row>
    <row r="335" spans="2:22" ht="11.25">
      <c r="B335" s="161" t="s">
        <v>1057</v>
      </c>
      <c r="C335" s="161" t="s">
        <v>1057</v>
      </c>
      <c r="D335" s="161" t="s">
        <v>1057</v>
      </c>
      <c r="E335" s="161" t="s">
        <v>1057</v>
      </c>
      <c r="F335" s="161">
        <v>4</v>
      </c>
      <c r="G335" s="161" t="s">
        <v>1057</v>
      </c>
      <c r="H335" s="161">
        <v>3</v>
      </c>
      <c r="I335" s="161" t="s">
        <v>1057</v>
      </c>
      <c r="J335" s="161">
        <v>3</v>
      </c>
      <c r="K335" s="161">
        <v>3</v>
      </c>
      <c r="L335" s="160" t="s">
        <v>1057</v>
      </c>
      <c r="M335" s="160" t="s">
        <v>177</v>
      </c>
      <c r="N335" s="160" t="s">
        <v>811</v>
      </c>
      <c r="O335" s="160" t="s">
        <v>1064</v>
      </c>
      <c r="P335" s="160" t="s">
        <v>1059</v>
      </c>
      <c r="Q335" s="160" t="str">
        <f>CONCATENATE(25+(FLOOR(Data!E25/2,1)*5)," ft.")</f>
        <v>25 ft.</v>
      </c>
      <c r="R335" s="162" t="s">
        <v>178</v>
      </c>
      <c r="S335" s="160" t="str">
        <f>CONCATENATE(Data!E25," hours")</f>
        <v>1 hours</v>
      </c>
      <c r="T335" s="160" t="s">
        <v>1081</v>
      </c>
      <c r="U335" s="160" t="s">
        <v>1082</v>
      </c>
      <c r="V335" s="160" t="s">
        <v>1057</v>
      </c>
    </row>
    <row r="336" spans="2:22" ht="11.25">
      <c r="B336" s="161">
        <v>5</v>
      </c>
      <c r="C336" s="161" t="s">
        <v>1057</v>
      </c>
      <c r="D336" s="161" t="s">
        <v>1057</v>
      </c>
      <c r="E336" s="161" t="s">
        <v>1057</v>
      </c>
      <c r="F336" s="161" t="s">
        <v>1057</v>
      </c>
      <c r="G336" s="161" t="s">
        <v>1057</v>
      </c>
      <c r="H336" s="161" t="s">
        <v>1057</v>
      </c>
      <c r="I336" s="161" t="s">
        <v>1057</v>
      </c>
      <c r="J336" s="161">
        <v>5</v>
      </c>
      <c r="K336" s="161">
        <v>5</v>
      </c>
      <c r="L336" s="160" t="s">
        <v>1057</v>
      </c>
      <c r="M336" s="160" t="s">
        <v>179</v>
      </c>
      <c r="N336" s="160" t="s">
        <v>815</v>
      </c>
      <c r="O336" s="160" t="s">
        <v>1091</v>
      </c>
      <c r="P336" s="160" t="s">
        <v>1118</v>
      </c>
      <c r="Q336" s="160" t="str">
        <f>CONCATENATE(25+(FLOOR(Data!E25/2,1)*5)," ft.")</f>
        <v>25 ft.</v>
      </c>
      <c r="R336" s="162" t="str">
        <f>CONCATENATE("Effect: Unattended, nonmagical object of nonliving plant matter, up to ",Data!E25," cu. ft.")</f>
        <v>Effect: Unattended, nonmagical object of nonliving plant matter, up to 1 cu. ft.</v>
      </c>
      <c r="S336" s="160" t="s">
        <v>1087</v>
      </c>
      <c r="T336" s="160" t="s">
        <v>1061</v>
      </c>
      <c r="U336" s="160" t="s">
        <v>801</v>
      </c>
      <c r="V336" s="160" t="s">
        <v>1057</v>
      </c>
    </row>
    <row r="337" spans="2:22" ht="11.25">
      <c r="B337" s="161" t="s">
        <v>1057</v>
      </c>
      <c r="C337" s="161" t="s">
        <v>1057</v>
      </c>
      <c r="D337" s="161">
        <v>3</v>
      </c>
      <c r="E337" s="161" t="s">
        <v>1057</v>
      </c>
      <c r="F337" s="161" t="s">
        <v>1057</v>
      </c>
      <c r="G337" s="161" t="s">
        <v>1057</v>
      </c>
      <c r="H337" s="161" t="s">
        <v>1057</v>
      </c>
      <c r="I337" s="161" t="s">
        <v>1057</v>
      </c>
      <c r="J337" s="161">
        <v>3</v>
      </c>
      <c r="K337" s="161">
        <v>3</v>
      </c>
      <c r="L337" s="160" t="s">
        <v>1057</v>
      </c>
      <c r="M337" s="160" t="s">
        <v>180</v>
      </c>
      <c r="N337" s="160" t="s">
        <v>1179</v>
      </c>
      <c r="O337" s="160" t="s">
        <v>1086</v>
      </c>
      <c r="P337" s="160" t="s">
        <v>1059</v>
      </c>
      <c r="Q337" s="160" t="str">
        <f>CONCATENATE(400+(40*Data!E25)," ft.")</f>
        <v>440 ft.</v>
      </c>
      <c r="R337" s="162" t="str">
        <f>CONCATENATE("Effect: Visual figment that cannot extend beyond ",Data!E25+4," 10-ft. cubes (S)")</f>
        <v>Effect: Visual figment that cannot extend beyond 5 10-ft. cubes (S)</v>
      </c>
      <c r="S337" s="160" t="s">
        <v>181</v>
      </c>
      <c r="T337" s="160" t="s">
        <v>1462</v>
      </c>
      <c r="U337" s="160" t="s">
        <v>801</v>
      </c>
      <c r="V337" s="160" t="s">
        <v>1057</v>
      </c>
    </row>
    <row r="338" spans="2:22" ht="11.25">
      <c r="B338" s="161" t="s">
        <v>1057</v>
      </c>
      <c r="C338" s="161">
        <v>3</v>
      </c>
      <c r="D338" s="161" t="s">
        <v>1057</v>
      </c>
      <c r="E338" s="161" t="s">
        <v>1057</v>
      </c>
      <c r="F338" s="161" t="s">
        <v>1057</v>
      </c>
      <c r="G338" s="161" t="s">
        <v>1057</v>
      </c>
      <c r="H338" s="161" t="s">
        <v>1057</v>
      </c>
      <c r="I338" s="161" t="s">
        <v>1057</v>
      </c>
      <c r="J338" s="161">
        <v>2</v>
      </c>
      <c r="K338" s="161">
        <v>2</v>
      </c>
      <c r="L338" s="160" t="s">
        <v>1057</v>
      </c>
      <c r="M338" s="160" t="s">
        <v>1396</v>
      </c>
      <c r="N338" s="160" t="s">
        <v>826</v>
      </c>
      <c r="O338" s="160" t="s">
        <v>1091</v>
      </c>
      <c r="P338" s="160" t="s">
        <v>1059</v>
      </c>
      <c r="Q338" s="160" t="s">
        <v>817</v>
      </c>
      <c r="R338" s="162" t="s">
        <v>1084</v>
      </c>
      <c r="S338" s="160" t="s">
        <v>1087</v>
      </c>
      <c r="T338" s="160" t="s">
        <v>1061</v>
      </c>
      <c r="U338" s="160" t="s">
        <v>801</v>
      </c>
      <c r="V338" s="160" t="s">
        <v>1057</v>
      </c>
    </row>
    <row r="339" spans="2:22" ht="11.25">
      <c r="B339" s="161" t="s">
        <v>1057</v>
      </c>
      <c r="C339" s="161" t="s">
        <v>1057</v>
      </c>
      <c r="D339" s="161" t="s">
        <v>1057</v>
      </c>
      <c r="E339" s="161" t="s">
        <v>1057</v>
      </c>
      <c r="F339" s="161">
        <v>5</v>
      </c>
      <c r="G339" s="161" t="s">
        <v>1057</v>
      </c>
      <c r="H339" s="161">
        <v>4</v>
      </c>
      <c r="I339" s="161" t="s">
        <v>1057</v>
      </c>
      <c r="J339" s="161" t="s">
        <v>1057</v>
      </c>
      <c r="K339" s="161" t="s">
        <v>1057</v>
      </c>
      <c r="L339" s="160" t="s">
        <v>1057</v>
      </c>
      <c r="M339" s="160" t="s">
        <v>182</v>
      </c>
      <c r="N339" s="160" t="s">
        <v>826</v>
      </c>
      <c r="O339" s="160" t="s">
        <v>1071</v>
      </c>
      <c r="P339" s="160" t="s">
        <v>1118</v>
      </c>
      <c r="Q339" s="160" t="s">
        <v>799</v>
      </c>
      <c r="R339" s="162" t="s">
        <v>1152</v>
      </c>
      <c r="S339" s="160" t="s">
        <v>1087</v>
      </c>
      <c r="T339" s="160" t="s">
        <v>1061</v>
      </c>
      <c r="U339" s="160" t="s">
        <v>805</v>
      </c>
      <c r="V339" s="160" t="s">
        <v>1057</v>
      </c>
    </row>
    <row r="340" spans="2:22" ht="11.25">
      <c r="B340" s="161" t="s">
        <v>1057</v>
      </c>
      <c r="C340" s="161" t="s">
        <v>1057</v>
      </c>
      <c r="D340" s="161" t="s">
        <v>1057</v>
      </c>
      <c r="E340" s="161" t="s">
        <v>1057</v>
      </c>
      <c r="F340" s="161" t="s">
        <v>1057</v>
      </c>
      <c r="G340" s="161" t="s">
        <v>1057</v>
      </c>
      <c r="H340" s="161" t="s">
        <v>1057</v>
      </c>
      <c r="I340" s="161" t="s">
        <v>1057</v>
      </c>
      <c r="J340" s="161">
        <v>8</v>
      </c>
      <c r="K340" s="161">
        <v>8</v>
      </c>
      <c r="L340" s="160" t="s">
        <v>1057</v>
      </c>
      <c r="M340" s="160" t="s">
        <v>183</v>
      </c>
      <c r="N340" s="160" t="s">
        <v>815</v>
      </c>
      <c r="O340" s="160" t="s">
        <v>1067</v>
      </c>
      <c r="P340" s="160" t="s">
        <v>1059</v>
      </c>
      <c r="Q340" s="160" t="str">
        <f>CONCATENATE(25+(FLOOR(Data!E25/2,1)*5)," ft.")</f>
        <v>25 ft.</v>
      </c>
      <c r="R340" s="162" t="s">
        <v>1144</v>
      </c>
      <c r="S340" s="160" t="s">
        <v>1087</v>
      </c>
      <c r="T340" s="160" t="s">
        <v>1061</v>
      </c>
      <c r="U340" s="160" t="s">
        <v>805</v>
      </c>
      <c r="V340" s="160" t="s">
        <v>1057</v>
      </c>
    </row>
    <row r="341" spans="2:22" ht="11.25">
      <c r="B341" s="161" t="s">
        <v>1057</v>
      </c>
      <c r="C341" s="161" t="s">
        <v>1057</v>
      </c>
      <c r="D341" s="161" t="s">
        <v>1057</v>
      </c>
      <c r="E341" s="161" t="s">
        <v>1057</v>
      </c>
      <c r="F341" s="161">
        <v>3</v>
      </c>
      <c r="G341" s="161">
        <v>3</v>
      </c>
      <c r="H341" s="161" t="s">
        <v>1057</v>
      </c>
      <c r="I341" s="161" t="s">
        <v>1057</v>
      </c>
      <c r="J341" s="161" t="s">
        <v>1057</v>
      </c>
      <c r="K341" s="161" t="s">
        <v>1057</v>
      </c>
      <c r="L341" s="160" t="s">
        <v>1057</v>
      </c>
      <c r="M341" s="160" t="s">
        <v>899</v>
      </c>
      <c r="N341" s="160" t="s">
        <v>811</v>
      </c>
      <c r="O341" s="160" t="s">
        <v>1071</v>
      </c>
      <c r="P341" s="160" t="s">
        <v>1059</v>
      </c>
      <c r="Q341" s="160" t="s">
        <v>817</v>
      </c>
      <c r="R341" s="162" t="s">
        <v>1084</v>
      </c>
      <c r="S341" s="160" t="str">
        <f>CONCATENATE(Data!E25*10," min.")</f>
        <v>10 min.</v>
      </c>
      <c r="T341" s="160" t="s">
        <v>1061</v>
      </c>
      <c r="U341" s="160" t="s">
        <v>801</v>
      </c>
      <c r="V341" s="160" t="s">
        <v>1057</v>
      </c>
    </row>
    <row r="342" spans="2:22" ht="11.25">
      <c r="B342" s="161" t="s">
        <v>1057</v>
      </c>
      <c r="C342" s="161" t="s">
        <v>1057</v>
      </c>
      <c r="D342" s="161">
        <v>2</v>
      </c>
      <c r="E342" s="161" t="s">
        <v>1057</v>
      </c>
      <c r="F342" s="161">
        <v>2</v>
      </c>
      <c r="G342" s="161" t="s">
        <v>1057</v>
      </c>
      <c r="H342" s="161" t="s">
        <v>1057</v>
      </c>
      <c r="I342" s="161" t="s">
        <v>1057</v>
      </c>
      <c r="J342" s="161" t="s">
        <v>1057</v>
      </c>
      <c r="K342" s="161" t="s">
        <v>1057</v>
      </c>
      <c r="L342" s="160" t="s">
        <v>1195</v>
      </c>
      <c r="M342" s="160" t="s">
        <v>857</v>
      </c>
      <c r="N342" s="160" t="s">
        <v>804</v>
      </c>
      <c r="O342" s="160" t="s">
        <v>1071</v>
      </c>
      <c r="P342" s="160" t="s">
        <v>1059</v>
      </c>
      <c r="Q342" s="160" t="str">
        <f>CONCATENATE(100+(10*Data!E25)," ft.")</f>
        <v>110 ft.</v>
      </c>
      <c r="R342" s="162" t="s">
        <v>1196</v>
      </c>
      <c r="S342" s="160" t="str">
        <f>CONCATENATE("Con., up to ",Data!E25," rnds [D]")</f>
        <v>Con., up to 1 rnds [D]</v>
      </c>
      <c r="T342" s="160" t="s">
        <v>1141</v>
      </c>
      <c r="U342" s="160" t="s">
        <v>805</v>
      </c>
      <c r="V342" s="160" t="s">
        <v>1057</v>
      </c>
    </row>
    <row r="343" spans="2:22" ht="11.25">
      <c r="B343" s="161" t="s">
        <v>1057</v>
      </c>
      <c r="C343" s="161" t="s">
        <v>1057</v>
      </c>
      <c r="D343" s="161" t="s">
        <v>1057</v>
      </c>
      <c r="E343" s="161" t="s">
        <v>1057</v>
      </c>
      <c r="F343" s="161" t="s">
        <v>1057</v>
      </c>
      <c r="G343" s="161">
        <v>2</v>
      </c>
      <c r="H343" s="161" t="s">
        <v>1057</v>
      </c>
      <c r="I343" s="161" t="s">
        <v>1057</v>
      </c>
      <c r="J343" s="161">
        <v>2</v>
      </c>
      <c r="K343" s="161">
        <v>2</v>
      </c>
      <c r="L343" s="160" t="s">
        <v>1057</v>
      </c>
      <c r="M343" s="160" t="s">
        <v>1427</v>
      </c>
      <c r="N343" s="160" t="s">
        <v>1162</v>
      </c>
      <c r="O343" s="160" t="s">
        <v>1064</v>
      </c>
      <c r="P343" s="160" t="s">
        <v>1059</v>
      </c>
      <c r="Q343" s="160" t="str">
        <f>CONCATENATE(100+(10*Data!E25)," ft.")</f>
        <v>110 ft.</v>
      </c>
      <c r="R343" s="162" t="s">
        <v>1428</v>
      </c>
      <c r="S343" s="160" t="str">
        <f>CONCATENATE(Data!E25," rnds")</f>
        <v>1 rnds</v>
      </c>
      <c r="T343" s="160" t="s">
        <v>1429</v>
      </c>
      <c r="U343" s="160" t="s">
        <v>805</v>
      </c>
      <c r="V343" s="160" t="s">
        <v>1057</v>
      </c>
    </row>
    <row r="344" spans="2:22" ht="11.25">
      <c r="B344" s="161" t="s">
        <v>1057</v>
      </c>
      <c r="C344" s="161" t="s">
        <v>1057</v>
      </c>
      <c r="D344" s="161" t="s">
        <v>1057</v>
      </c>
      <c r="E344" s="161" t="s">
        <v>1057</v>
      </c>
      <c r="F344" s="161" t="s">
        <v>1057</v>
      </c>
      <c r="G344" s="161" t="s">
        <v>1057</v>
      </c>
      <c r="H344" s="161" t="s">
        <v>1057</v>
      </c>
      <c r="I344" s="161" t="s">
        <v>1057</v>
      </c>
      <c r="J344" s="161">
        <v>9</v>
      </c>
      <c r="K344" s="161">
        <v>9</v>
      </c>
      <c r="L344" s="160" t="s">
        <v>1057</v>
      </c>
      <c r="M344" s="160" t="s">
        <v>186</v>
      </c>
      <c r="N344" s="160" t="s">
        <v>1162</v>
      </c>
      <c r="O344" s="160" t="s">
        <v>1067</v>
      </c>
      <c r="P344" s="160" t="s">
        <v>1059</v>
      </c>
      <c r="Q344" s="160" t="str">
        <f>CONCATENATE(400+(40*Data!E25)," ft.")</f>
        <v>440 ft.</v>
      </c>
      <c r="R344" s="162" t="s">
        <v>187</v>
      </c>
      <c r="S344" s="160" t="s">
        <v>1069</v>
      </c>
      <c r="T344" s="160" t="s">
        <v>1087</v>
      </c>
      <c r="U344" s="160" t="s">
        <v>805</v>
      </c>
      <c r="V344" s="160" t="s">
        <v>1057</v>
      </c>
    </row>
    <row r="345" spans="2:22" ht="11.25">
      <c r="B345" s="161" t="s">
        <v>1057</v>
      </c>
      <c r="C345" s="161" t="s">
        <v>1057</v>
      </c>
      <c r="D345" s="161" t="s">
        <v>1057</v>
      </c>
      <c r="E345" s="161" t="s">
        <v>1057</v>
      </c>
      <c r="F345" s="161" t="s">
        <v>1057</v>
      </c>
      <c r="G345" s="161" t="s">
        <v>1057</v>
      </c>
      <c r="H345" s="161" t="s">
        <v>1057</v>
      </c>
      <c r="I345" s="161" t="s">
        <v>1057</v>
      </c>
      <c r="J345" s="161">
        <v>8</v>
      </c>
      <c r="K345" s="161">
        <v>8</v>
      </c>
      <c r="L345" s="160" t="s">
        <v>189</v>
      </c>
      <c r="M345" s="160" t="s">
        <v>188</v>
      </c>
      <c r="N345" s="160" t="s">
        <v>845</v>
      </c>
      <c r="O345" s="160" t="s">
        <v>1067</v>
      </c>
      <c r="P345" s="160" t="s">
        <v>1059</v>
      </c>
      <c r="Q345" s="160" t="str">
        <f>CONCATENATE(25+(FLOOR(Data!E25/2,1)*5)," ft.")</f>
        <v>25 ft.</v>
      </c>
      <c r="R345" s="162" t="s">
        <v>1144</v>
      </c>
      <c r="S345" s="160" t="s">
        <v>1139</v>
      </c>
      <c r="T345" s="160" t="s">
        <v>1153</v>
      </c>
      <c r="U345" s="160" t="s">
        <v>1073</v>
      </c>
      <c r="V345" s="160" t="s">
        <v>1057</v>
      </c>
    </row>
    <row r="346" spans="2:22" ht="11.25">
      <c r="B346" s="161" t="s">
        <v>1057</v>
      </c>
      <c r="C346" s="161" t="s">
        <v>1057</v>
      </c>
      <c r="D346" s="161">
        <v>5</v>
      </c>
      <c r="E346" s="161" t="s">
        <v>1057</v>
      </c>
      <c r="F346" s="161" t="s">
        <v>1057</v>
      </c>
      <c r="G346" s="161" t="s">
        <v>1057</v>
      </c>
      <c r="H346" s="161" t="s">
        <v>1057</v>
      </c>
      <c r="I346" s="161" t="s">
        <v>1057</v>
      </c>
      <c r="J346" s="161">
        <v>5</v>
      </c>
      <c r="K346" s="161">
        <v>5</v>
      </c>
      <c r="L346" s="160" t="s">
        <v>1057</v>
      </c>
      <c r="M346" s="160" t="s">
        <v>190</v>
      </c>
      <c r="N346" s="160" t="s">
        <v>804</v>
      </c>
      <c r="O346" s="160" t="s">
        <v>1067</v>
      </c>
      <c r="P346" s="160" t="s">
        <v>1059</v>
      </c>
      <c r="Q346" s="160" t="str">
        <f>CONCATENATE(100+(10*Data!E25)," ft.")</f>
        <v>110 ft.</v>
      </c>
      <c r="R346" s="162" t="s">
        <v>1065</v>
      </c>
      <c r="S346" s="160" t="s">
        <v>1087</v>
      </c>
      <c r="T346" s="160" t="s">
        <v>1141</v>
      </c>
      <c r="U346" s="160" t="s">
        <v>805</v>
      </c>
      <c r="V346" s="160" t="s">
        <v>1057</v>
      </c>
    </row>
    <row r="347" spans="2:22" ht="11.25">
      <c r="B347" s="161">
        <v>4</v>
      </c>
      <c r="C347" s="161" t="s">
        <v>1057</v>
      </c>
      <c r="D347" s="161" t="s">
        <v>1057</v>
      </c>
      <c r="E347" s="161" t="s">
        <v>1057</v>
      </c>
      <c r="F347" s="161" t="s">
        <v>1057</v>
      </c>
      <c r="G347" s="161" t="s">
        <v>1057</v>
      </c>
      <c r="H347" s="161" t="s">
        <v>1057</v>
      </c>
      <c r="I347" s="161" t="s">
        <v>1057</v>
      </c>
      <c r="J347" s="161">
        <v>4</v>
      </c>
      <c r="K347" s="161">
        <v>4</v>
      </c>
      <c r="L347" s="160" t="s">
        <v>1057</v>
      </c>
      <c r="M347" s="160" t="s">
        <v>191</v>
      </c>
      <c r="N347" s="160" t="s">
        <v>815</v>
      </c>
      <c r="O347" s="160" t="s">
        <v>1091</v>
      </c>
      <c r="P347" s="160" t="s">
        <v>1135</v>
      </c>
      <c r="Q347" s="160" t="s">
        <v>1124</v>
      </c>
      <c r="R347" s="162" t="str">
        <f>CONCATENATE("Effect: Unattended, nonmagical object of nonliving plant matter, up to ",Data!E25," cu. ft.")</f>
        <v>Effect: Unattended, nonmagical object of nonliving plant matter, up to 1 cu. ft.</v>
      </c>
      <c r="S347" s="160" t="str">
        <f>CONCATENATE(Data!E25," hours [D]")</f>
        <v>1 hours [D]</v>
      </c>
      <c r="T347" s="160" t="s">
        <v>1061</v>
      </c>
      <c r="U347" s="160" t="s">
        <v>801</v>
      </c>
      <c r="V347" s="160" t="s">
        <v>1057</v>
      </c>
    </row>
    <row r="348" spans="2:22" ht="11.25">
      <c r="B348" s="161" t="s">
        <v>1057</v>
      </c>
      <c r="C348" s="161" t="s">
        <v>1057</v>
      </c>
      <c r="D348" s="161" t="s">
        <v>1057</v>
      </c>
      <c r="E348" s="161" t="s">
        <v>1057</v>
      </c>
      <c r="F348" s="161" t="s">
        <v>1057</v>
      </c>
      <c r="G348" s="161">
        <v>2</v>
      </c>
      <c r="H348" s="161" t="s">
        <v>1057</v>
      </c>
      <c r="I348" s="161" t="s">
        <v>1057</v>
      </c>
      <c r="J348" s="161">
        <v>2</v>
      </c>
      <c r="K348" s="161">
        <v>2</v>
      </c>
      <c r="L348" s="160" t="s">
        <v>1437</v>
      </c>
      <c r="M348" s="160" t="s">
        <v>1436</v>
      </c>
      <c r="N348" s="160" t="s">
        <v>815</v>
      </c>
      <c r="O348" s="160" t="s">
        <v>1067</v>
      </c>
      <c r="P348" s="160" t="s">
        <v>1059</v>
      </c>
      <c r="Q348" s="160" t="str">
        <f>CONCATENATE(100+(10*Data!E25)," ft.")</f>
        <v>110 ft.</v>
      </c>
      <c r="R348" s="162" t="s">
        <v>1065</v>
      </c>
      <c r="S348" s="160" t="str">
        <f>CONCATENATE(Data!E25*10," min.")</f>
        <v>10 min.</v>
      </c>
      <c r="T348" s="160" t="s">
        <v>1061</v>
      </c>
      <c r="U348" s="160" t="s">
        <v>801</v>
      </c>
      <c r="V348" s="160" t="s">
        <v>1057</v>
      </c>
    </row>
    <row r="349" spans="2:22" ht="11.25">
      <c r="B349" s="161" t="s">
        <v>1057</v>
      </c>
      <c r="C349" s="161" t="s">
        <v>1057</v>
      </c>
      <c r="D349" s="161" t="s">
        <v>1057</v>
      </c>
      <c r="E349" s="161" t="s">
        <v>1057</v>
      </c>
      <c r="F349" s="161">
        <v>9</v>
      </c>
      <c r="G349" s="161" t="s">
        <v>1057</v>
      </c>
      <c r="H349" s="161" t="s">
        <v>1057</v>
      </c>
      <c r="I349" s="161" t="s">
        <v>1057</v>
      </c>
      <c r="J349" s="161" t="s">
        <v>1057</v>
      </c>
      <c r="K349" s="161" t="s">
        <v>1057</v>
      </c>
      <c r="L349" s="160" t="s">
        <v>194</v>
      </c>
      <c r="M349" s="160" t="s">
        <v>193</v>
      </c>
      <c r="N349" s="160" t="s">
        <v>1162</v>
      </c>
      <c r="O349" s="160" t="s">
        <v>1087</v>
      </c>
      <c r="P349" s="160" t="s">
        <v>1059</v>
      </c>
      <c r="Q349" s="160" t="s">
        <v>1087</v>
      </c>
      <c r="R349" s="162" t="s">
        <v>1450</v>
      </c>
      <c r="S349" s="160" t="s">
        <v>1087</v>
      </c>
      <c r="T349" s="160" t="s">
        <v>1087</v>
      </c>
      <c r="U349" s="160" t="s">
        <v>805</v>
      </c>
      <c r="V349" s="160" t="s">
        <v>1057</v>
      </c>
    </row>
    <row r="350" spans="2:22" ht="11.25">
      <c r="B350" s="161" t="s">
        <v>1057</v>
      </c>
      <c r="C350" s="161" t="s">
        <v>1057</v>
      </c>
      <c r="D350" s="161">
        <v>5</v>
      </c>
      <c r="E350" s="161" t="s">
        <v>1057</v>
      </c>
      <c r="F350" s="161" t="s">
        <v>1057</v>
      </c>
      <c r="G350" s="161" t="s">
        <v>1057</v>
      </c>
      <c r="H350" s="161" t="s">
        <v>1057</v>
      </c>
      <c r="I350" s="161" t="s">
        <v>1057</v>
      </c>
      <c r="J350" s="161">
        <v>5</v>
      </c>
      <c r="K350" s="161">
        <v>5</v>
      </c>
      <c r="L350" s="160" t="s">
        <v>1057</v>
      </c>
      <c r="M350" s="160" t="s">
        <v>195</v>
      </c>
      <c r="N350" s="160" t="s">
        <v>1179</v>
      </c>
      <c r="O350" s="160" t="s">
        <v>1067</v>
      </c>
      <c r="P350" s="160" t="s">
        <v>1059</v>
      </c>
      <c r="Q350" s="160" t="str">
        <f>CONCATENATE(400+(40*Data!E25)," ft.")</f>
        <v>440 ft.</v>
      </c>
      <c r="R350" s="162" t="str">
        <f>CONCATENATE("Area: ",Data!E25," 20-ft. cubes (S)")</f>
        <v>Area: 1 20-ft. cubes (S)</v>
      </c>
      <c r="S350" s="160" t="str">
        <f>CONCATENATE("Con. + ",Data!E25," hours [D]")</f>
        <v>Con. + 1 hours [D]</v>
      </c>
      <c r="T350" s="160" t="s">
        <v>1462</v>
      </c>
      <c r="U350" s="160" t="s">
        <v>801</v>
      </c>
      <c r="V350" s="160" t="s">
        <v>1057</v>
      </c>
    </row>
    <row r="351" spans="2:22" ht="11.25">
      <c r="B351" s="161" t="s">
        <v>1057</v>
      </c>
      <c r="C351" s="161">
        <v>2</v>
      </c>
      <c r="D351" s="161">
        <v>2</v>
      </c>
      <c r="E351" s="161" t="s">
        <v>1057</v>
      </c>
      <c r="F351" s="161" t="s">
        <v>1057</v>
      </c>
      <c r="G351" s="161" t="s">
        <v>1057</v>
      </c>
      <c r="H351" s="161" t="s">
        <v>1057</v>
      </c>
      <c r="I351" s="161" t="s">
        <v>1057</v>
      </c>
      <c r="J351" s="161">
        <v>2</v>
      </c>
      <c r="K351" s="161">
        <v>2</v>
      </c>
      <c r="L351" s="160" t="s">
        <v>1057</v>
      </c>
      <c r="M351" s="160" t="s">
        <v>1445</v>
      </c>
      <c r="N351" s="160" t="s">
        <v>811</v>
      </c>
      <c r="O351" s="160" t="s">
        <v>1064</v>
      </c>
      <c r="P351" s="160" t="s">
        <v>1059</v>
      </c>
      <c r="Q351" s="160" t="s">
        <v>799</v>
      </c>
      <c r="R351" s="162" t="s">
        <v>1152</v>
      </c>
      <c r="S351" s="160" t="str">
        <f>CONCATENATE(Data!E25," min.")</f>
        <v>1 min.</v>
      </c>
      <c r="T351" s="160" t="s">
        <v>1153</v>
      </c>
      <c r="U351" s="160" t="s">
        <v>805</v>
      </c>
      <c r="V351" s="160" t="s">
        <v>1057</v>
      </c>
    </row>
    <row r="352" spans="2:22" ht="11.25">
      <c r="B352" s="161" t="s">
        <v>1057</v>
      </c>
      <c r="C352" s="161" t="s">
        <v>1057</v>
      </c>
      <c r="D352" s="161" t="s">
        <v>1057</v>
      </c>
      <c r="E352" s="161" t="s">
        <v>1057</v>
      </c>
      <c r="F352" s="161" t="s">
        <v>1057</v>
      </c>
      <c r="G352" s="161" t="s">
        <v>1057</v>
      </c>
      <c r="H352" s="161" t="s">
        <v>1057</v>
      </c>
      <c r="I352" s="161" t="s">
        <v>1057</v>
      </c>
      <c r="J352" s="161">
        <v>2</v>
      </c>
      <c r="K352" s="161">
        <v>2</v>
      </c>
      <c r="L352" s="160" t="s">
        <v>1057</v>
      </c>
      <c r="M352" s="160" t="s">
        <v>1463</v>
      </c>
      <c r="N352" s="160" t="s">
        <v>826</v>
      </c>
      <c r="O352" s="160" t="s">
        <v>1091</v>
      </c>
      <c r="P352" s="160" t="s">
        <v>1059</v>
      </c>
      <c r="Q352" s="160" t="s">
        <v>799</v>
      </c>
      <c r="R352" s="162" t="s">
        <v>0</v>
      </c>
      <c r="S352" s="160" t="s">
        <v>1</v>
      </c>
      <c r="T352" s="160" t="s">
        <v>1090</v>
      </c>
      <c r="U352" s="160" t="s">
        <v>805</v>
      </c>
      <c r="V352" s="160" t="s">
        <v>1057</v>
      </c>
    </row>
    <row r="353" spans="2:22" ht="11.25">
      <c r="B353" s="161" t="s">
        <v>1057</v>
      </c>
      <c r="C353" s="161" t="s">
        <v>1057</v>
      </c>
      <c r="D353" s="161">
        <v>5</v>
      </c>
      <c r="E353" s="161" t="s">
        <v>1057</v>
      </c>
      <c r="F353" s="161" t="s">
        <v>1057</v>
      </c>
      <c r="G353" s="161" t="s">
        <v>1057</v>
      </c>
      <c r="H353" s="161" t="s">
        <v>1057</v>
      </c>
      <c r="I353" s="161" t="s">
        <v>1057</v>
      </c>
      <c r="J353" s="161">
        <v>6</v>
      </c>
      <c r="K353" s="161">
        <v>6</v>
      </c>
      <c r="L353" s="160" t="s">
        <v>200</v>
      </c>
      <c r="M353" s="160" t="s">
        <v>199</v>
      </c>
      <c r="N353" s="160" t="s">
        <v>1179</v>
      </c>
      <c r="O353" s="160" t="s">
        <v>4</v>
      </c>
      <c r="P353" s="160" t="s">
        <v>1059</v>
      </c>
      <c r="Q353" s="160" t="str">
        <f>CONCATENATE(25+(FLOOR(Data!E25/2,1)*5)," ft.")</f>
        <v>25 ft.</v>
      </c>
      <c r="R353" s="162" t="s">
        <v>238</v>
      </c>
      <c r="S353" s="160" t="s">
        <v>1087</v>
      </c>
      <c r="T353" s="160" t="s">
        <v>1087</v>
      </c>
      <c r="U353" s="160" t="s">
        <v>801</v>
      </c>
      <c r="V353" s="160" t="s">
        <v>1057</v>
      </c>
    </row>
    <row r="354" spans="2:22" ht="11.25">
      <c r="B354" s="161" t="s">
        <v>1057</v>
      </c>
      <c r="C354" s="161" t="s">
        <v>1057</v>
      </c>
      <c r="D354" s="161" t="s">
        <v>1057</v>
      </c>
      <c r="E354" s="161" t="s">
        <v>1057</v>
      </c>
      <c r="F354" s="161" t="s">
        <v>1057</v>
      </c>
      <c r="G354" s="161" t="s">
        <v>1057</v>
      </c>
      <c r="H354" s="161" t="s">
        <v>1057</v>
      </c>
      <c r="I354" s="161" t="s">
        <v>1057</v>
      </c>
      <c r="J354" s="161" t="s">
        <v>1057</v>
      </c>
      <c r="K354" s="161">
        <v>4</v>
      </c>
      <c r="L354" s="160" t="s">
        <v>1057</v>
      </c>
      <c r="M354" s="160" t="s">
        <v>239</v>
      </c>
      <c r="N354" s="160" t="s">
        <v>811</v>
      </c>
      <c r="O354" s="160" t="s">
        <v>1058</v>
      </c>
      <c r="P354" s="160" t="s">
        <v>1118</v>
      </c>
      <c r="Q354" s="160" t="s">
        <v>817</v>
      </c>
      <c r="R354" s="162" t="s">
        <v>1084</v>
      </c>
      <c r="S354" s="160" t="s">
        <v>1069</v>
      </c>
      <c r="T354" s="160" t="s">
        <v>1061</v>
      </c>
      <c r="U354" s="160" t="s">
        <v>801</v>
      </c>
      <c r="V354" s="160" t="s">
        <v>1136</v>
      </c>
    </row>
    <row r="355" spans="2:22" ht="11.25">
      <c r="B355" s="161" t="s">
        <v>1057</v>
      </c>
      <c r="C355" s="161">
        <v>4</v>
      </c>
      <c r="D355" s="161">
        <v>4</v>
      </c>
      <c r="E355" s="161" t="s">
        <v>1057</v>
      </c>
      <c r="F355" s="161" t="s">
        <v>1057</v>
      </c>
      <c r="G355" s="161" t="s">
        <v>1057</v>
      </c>
      <c r="H355" s="161" t="s">
        <v>1057</v>
      </c>
      <c r="I355" s="161" t="s">
        <v>1057</v>
      </c>
      <c r="J355" s="161" t="s">
        <v>1057</v>
      </c>
      <c r="K355" s="161" t="s">
        <v>1057</v>
      </c>
      <c r="L355" s="160" t="s">
        <v>1057</v>
      </c>
      <c r="M355" s="160" t="s">
        <v>240</v>
      </c>
      <c r="N355" s="160" t="s">
        <v>804</v>
      </c>
      <c r="O355" s="160" t="s">
        <v>1067</v>
      </c>
      <c r="P355" s="160" t="s">
        <v>1087</v>
      </c>
      <c r="Q355" s="160" t="str">
        <f>CONCATENATE(25+(FLOOR(Data!E25/2,1)*5)," ft.")</f>
        <v>25 ft.</v>
      </c>
      <c r="R355" s="162" t="s">
        <v>1156</v>
      </c>
      <c r="S355" s="160" t="s">
        <v>800</v>
      </c>
      <c r="T355" s="160" t="s">
        <v>1141</v>
      </c>
      <c r="U355" s="160" t="s">
        <v>805</v>
      </c>
      <c r="V355" s="160" t="s">
        <v>1057</v>
      </c>
    </row>
    <row r="356" spans="2:22" ht="11.25">
      <c r="B356" s="161" t="s">
        <v>1057</v>
      </c>
      <c r="C356" s="161" t="s">
        <v>1057</v>
      </c>
      <c r="D356" s="161" t="s">
        <v>1057</v>
      </c>
      <c r="E356" s="161" t="s">
        <v>1057</v>
      </c>
      <c r="F356" s="161" t="s">
        <v>1057</v>
      </c>
      <c r="G356" s="161" t="s">
        <v>1057</v>
      </c>
      <c r="H356" s="161" t="s">
        <v>1057</v>
      </c>
      <c r="I356" s="161" t="s">
        <v>1057</v>
      </c>
      <c r="J356" s="161">
        <v>8</v>
      </c>
      <c r="K356" s="161">
        <v>8</v>
      </c>
      <c r="L356" s="160" t="s">
        <v>242</v>
      </c>
      <c r="M356" s="160" t="s">
        <v>241</v>
      </c>
      <c r="N356" s="160" t="s">
        <v>822</v>
      </c>
      <c r="O356" s="160" t="s">
        <v>1067</v>
      </c>
      <c r="P356" s="160" t="s">
        <v>1059</v>
      </c>
      <c r="Q356" s="160" t="s">
        <v>817</v>
      </c>
      <c r="R356" s="162" t="s">
        <v>1084</v>
      </c>
      <c r="S356" s="160" t="str">
        <f>CONCATENATE(Data!E25," hours or until dis.")</f>
        <v>1 hours or until dis.</v>
      </c>
      <c r="T356" s="160" t="s">
        <v>1061</v>
      </c>
      <c r="U356" s="160" t="s">
        <v>801</v>
      </c>
      <c r="V356" s="160" t="s">
        <v>1057</v>
      </c>
    </row>
    <row r="357" spans="2:22" ht="11.25">
      <c r="B357" s="161" t="s">
        <v>1057</v>
      </c>
      <c r="C357" s="161" t="s">
        <v>1057</v>
      </c>
      <c r="D357" s="161">
        <v>2</v>
      </c>
      <c r="E357" s="161" t="s">
        <v>1057</v>
      </c>
      <c r="F357" s="161" t="s">
        <v>1057</v>
      </c>
      <c r="G357" s="161" t="s">
        <v>1057</v>
      </c>
      <c r="H357" s="161" t="s">
        <v>1057</v>
      </c>
      <c r="I357" s="161" t="s">
        <v>1057</v>
      </c>
      <c r="J357" s="161">
        <v>2</v>
      </c>
      <c r="K357" s="161">
        <v>2</v>
      </c>
      <c r="L357" s="160" t="s">
        <v>1057</v>
      </c>
      <c r="M357" s="160" t="s">
        <v>5</v>
      </c>
      <c r="N357" s="160" t="s">
        <v>815</v>
      </c>
      <c r="O357" s="160" t="s">
        <v>1091</v>
      </c>
      <c r="P357" s="160" t="s">
        <v>1059</v>
      </c>
      <c r="Q357" s="160" t="str">
        <f>CONCATENATE(100+(10*Data!E25)," ft.")</f>
        <v>110 ft.</v>
      </c>
      <c r="R357" s="162" t="s">
        <v>6</v>
      </c>
      <c r="S357" s="160" t="str">
        <f>CONCATENATE(Data!E25," rnds")</f>
        <v>1 rnds</v>
      </c>
      <c r="T357" s="160" t="s">
        <v>1087</v>
      </c>
      <c r="U357" s="160" t="s">
        <v>801</v>
      </c>
      <c r="V357" s="160" t="s">
        <v>1057</v>
      </c>
    </row>
    <row r="358" spans="2:22" ht="11.25">
      <c r="B358" s="161" t="s">
        <v>1057</v>
      </c>
      <c r="C358" s="161" t="s">
        <v>1057</v>
      </c>
      <c r="D358" s="161" t="s">
        <v>1057</v>
      </c>
      <c r="E358" s="161" t="s">
        <v>1057</v>
      </c>
      <c r="F358" s="161" t="s">
        <v>1057</v>
      </c>
      <c r="G358" s="161">
        <v>6</v>
      </c>
      <c r="H358" s="161" t="s">
        <v>1057</v>
      </c>
      <c r="I358" s="161" t="s">
        <v>1057</v>
      </c>
      <c r="J358" s="161">
        <v>6</v>
      </c>
      <c r="K358" s="161">
        <v>6</v>
      </c>
      <c r="L358" s="160" t="s">
        <v>1057</v>
      </c>
      <c r="M358" s="160" t="s">
        <v>245</v>
      </c>
      <c r="N358" s="160" t="s">
        <v>811</v>
      </c>
      <c r="O358" s="160" t="s">
        <v>1091</v>
      </c>
      <c r="P358" s="160" t="s">
        <v>1087</v>
      </c>
      <c r="Q358" s="160" t="str">
        <f>CONCATENATE(400+(40*Data!E25)," ft.")</f>
        <v>440 ft.</v>
      </c>
      <c r="R358" s="162" t="s">
        <v>246</v>
      </c>
      <c r="S358" s="160" t="s">
        <v>1069</v>
      </c>
      <c r="T358" s="160" t="s">
        <v>1061</v>
      </c>
      <c r="U358" s="160" t="s">
        <v>801</v>
      </c>
      <c r="V358" s="160" t="s">
        <v>1057</v>
      </c>
    </row>
    <row r="359" spans="2:22" ht="11.25">
      <c r="B359" s="161">
        <v>3</v>
      </c>
      <c r="C359" s="161" t="s">
        <v>1057</v>
      </c>
      <c r="D359" s="161">
        <v>4</v>
      </c>
      <c r="E359" s="161" t="s">
        <v>1057</v>
      </c>
      <c r="F359" s="161">
        <v>4</v>
      </c>
      <c r="G359" s="161">
        <v>3</v>
      </c>
      <c r="H359" s="161">
        <v>4</v>
      </c>
      <c r="I359" s="161">
        <v>3</v>
      </c>
      <c r="J359" s="161" t="s">
        <v>1057</v>
      </c>
      <c r="K359" s="161" t="s">
        <v>1057</v>
      </c>
      <c r="L359" s="160" t="s">
        <v>1057</v>
      </c>
      <c r="M359" s="160" t="s">
        <v>925</v>
      </c>
      <c r="N359" s="160" t="s">
        <v>815</v>
      </c>
      <c r="O359" s="160" t="s">
        <v>1064</v>
      </c>
      <c r="P359" s="160" t="s">
        <v>1059</v>
      </c>
      <c r="Q359" s="160" t="s">
        <v>799</v>
      </c>
      <c r="R359" s="162" t="str">
        <f>CONCATENATE("Target: Creature or object of up to ",Data!E25," cu. ft. touched")</f>
        <v>Target: Creature or object of up to 1 cu. ft. touched</v>
      </c>
      <c r="S359" s="160" t="str">
        <f>CONCATENATE(Data!E25*10," min.")</f>
        <v>10 min.</v>
      </c>
      <c r="T359" s="160" t="s">
        <v>1081</v>
      </c>
      <c r="U359" s="160" t="s">
        <v>1082</v>
      </c>
      <c r="V359" s="160" t="s">
        <v>1057</v>
      </c>
    </row>
    <row r="360" spans="2:22" ht="11.25">
      <c r="B360" s="161" t="s">
        <v>1057</v>
      </c>
      <c r="C360" s="161" t="s">
        <v>1057</v>
      </c>
      <c r="D360" s="161">
        <v>5</v>
      </c>
      <c r="E360" s="161" t="s">
        <v>1057</v>
      </c>
      <c r="F360" s="161" t="s">
        <v>1057</v>
      </c>
      <c r="G360" s="161" t="s">
        <v>1057</v>
      </c>
      <c r="H360" s="161" t="s">
        <v>1057</v>
      </c>
      <c r="I360" s="161" t="s">
        <v>1057</v>
      </c>
      <c r="J360" s="161">
        <v>5</v>
      </c>
      <c r="K360" s="161">
        <v>5</v>
      </c>
      <c r="L360" s="160" t="s">
        <v>1057</v>
      </c>
      <c r="M360" s="160" t="s">
        <v>247</v>
      </c>
      <c r="N360" s="160" t="s">
        <v>1179</v>
      </c>
      <c r="O360" s="160" t="s">
        <v>1067</v>
      </c>
      <c r="P360" s="160" t="s">
        <v>1118</v>
      </c>
      <c r="Q360" s="160" t="s">
        <v>1119</v>
      </c>
      <c r="R360" s="162" t="s">
        <v>1156</v>
      </c>
      <c r="S360" s="160" t="s">
        <v>1069</v>
      </c>
      <c r="T360" s="160" t="s">
        <v>1087</v>
      </c>
      <c r="U360" s="160" t="s">
        <v>805</v>
      </c>
      <c r="V360" s="160" t="s">
        <v>1057</v>
      </c>
    </row>
    <row r="361" spans="2:22" ht="11.25">
      <c r="B361" s="161" t="s">
        <v>1057</v>
      </c>
      <c r="C361" s="161">
        <v>3</v>
      </c>
      <c r="D361" s="161" t="s">
        <v>1057</v>
      </c>
      <c r="E361" s="161" t="s">
        <v>1057</v>
      </c>
      <c r="F361" s="161" t="s">
        <v>1057</v>
      </c>
      <c r="G361" s="161" t="s">
        <v>1057</v>
      </c>
      <c r="H361" s="161" t="s">
        <v>1057</v>
      </c>
      <c r="I361" s="161">
        <v>4</v>
      </c>
      <c r="J361" s="161">
        <v>3</v>
      </c>
      <c r="K361" s="161">
        <v>3</v>
      </c>
      <c r="L361" s="160" t="s">
        <v>249</v>
      </c>
      <c r="M361" s="160" t="s">
        <v>248</v>
      </c>
      <c r="N361" s="160" t="s">
        <v>845</v>
      </c>
      <c r="O361" s="160" t="s">
        <v>1091</v>
      </c>
      <c r="P361" s="160" t="s">
        <v>1059</v>
      </c>
      <c r="Q361" s="160" t="s">
        <v>799</v>
      </c>
      <c r="R361" s="162" t="s">
        <v>250</v>
      </c>
      <c r="S361" s="160" t="str">
        <f>CONCATENATE(Data!E25," hours")</f>
        <v>1 hours</v>
      </c>
      <c r="T361" s="160" t="s">
        <v>1081</v>
      </c>
      <c r="U361" s="160" t="s">
        <v>1082</v>
      </c>
      <c r="V361" s="160" t="s">
        <v>1136</v>
      </c>
    </row>
    <row r="362" spans="2:22" ht="11.25">
      <c r="B362" s="161" t="s">
        <v>1057</v>
      </c>
      <c r="C362" s="161" t="s">
        <v>1057</v>
      </c>
      <c r="D362" s="161" t="s">
        <v>1057</v>
      </c>
      <c r="E362" s="161" t="s">
        <v>1057</v>
      </c>
      <c r="F362" s="161" t="s">
        <v>1057</v>
      </c>
      <c r="G362" s="161">
        <v>2</v>
      </c>
      <c r="H362" s="161" t="s">
        <v>1057</v>
      </c>
      <c r="I362" s="161" t="s">
        <v>1057</v>
      </c>
      <c r="J362" s="161">
        <v>2</v>
      </c>
      <c r="K362" s="161">
        <v>2</v>
      </c>
      <c r="L362" s="160" t="s">
        <v>1057</v>
      </c>
      <c r="M362" s="160" t="s">
        <v>21</v>
      </c>
      <c r="N362" s="160" t="s">
        <v>1162</v>
      </c>
      <c r="O362" s="160" t="s">
        <v>1067</v>
      </c>
      <c r="P362" s="160" t="s">
        <v>1059</v>
      </c>
      <c r="Q362" s="160" t="s">
        <v>1246</v>
      </c>
      <c r="R362" s="162" t="s">
        <v>22</v>
      </c>
      <c r="S362" s="160" t="s">
        <v>1108</v>
      </c>
      <c r="T362" s="160" t="s">
        <v>1090</v>
      </c>
      <c r="U362" s="160" t="s">
        <v>805</v>
      </c>
      <c r="V362" s="160" t="s">
        <v>1057</v>
      </c>
    </row>
    <row r="363" spans="2:22" ht="11.25">
      <c r="B363" s="161" t="s">
        <v>1057</v>
      </c>
      <c r="C363" s="161" t="s">
        <v>1057</v>
      </c>
      <c r="D363" s="161" t="s">
        <v>1057</v>
      </c>
      <c r="E363" s="161" t="s">
        <v>1057</v>
      </c>
      <c r="F363" s="161">
        <v>2</v>
      </c>
      <c r="G363" s="161" t="s">
        <v>1057</v>
      </c>
      <c r="H363" s="161" t="s">
        <v>1057</v>
      </c>
      <c r="I363" s="161" t="s">
        <v>1057</v>
      </c>
      <c r="J363" s="161" t="s">
        <v>1057</v>
      </c>
      <c r="K363" s="161" t="s">
        <v>1057</v>
      </c>
      <c r="L363" s="160" t="s">
        <v>1057</v>
      </c>
      <c r="M363" s="160" t="s">
        <v>858</v>
      </c>
      <c r="N363" s="160" t="s">
        <v>1162</v>
      </c>
      <c r="O363" s="160" t="s">
        <v>1251</v>
      </c>
      <c r="P363" s="160" t="s">
        <v>1059</v>
      </c>
      <c r="Q363" s="160" t="str">
        <f>CONCATENATE(25+(FLOOR(Data!E25/2,1)*5)," ft.")</f>
        <v>25 ft.</v>
      </c>
      <c r="R363" s="162" t="s">
        <v>1252</v>
      </c>
      <c r="S363" s="160" t="str">
        <f>CONCATENATE(Data!E25*2," hours")</f>
        <v>2 hours</v>
      </c>
      <c r="T363" s="160" t="s">
        <v>1061</v>
      </c>
      <c r="U363" s="160" t="s">
        <v>801</v>
      </c>
      <c r="V363" s="160" t="s">
        <v>1122</v>
      </c>
    </row>
    <row r="364" spans="2:22" ht="11.25">
      <c r="B364" s="161" t="s">
        <v>1057</v>
      </c>
      <c r="C364" s="161" t="s">
        <v>1057</v>
      </c>
      <c r="D364" s="161">
        <v>1</v>
      </c>
      <c r="E364" s="161" t="s">
        <v>1057</v>
      </c>
      <c r="F364" s="161" t="s">
        <v>1057</v>
      </c>
      <c r="G364" s="161" t="s">
        <v>1057</v>
      </c>
      <c r="H364" s="161" t="s">
        <v>1057</v>
      </c>
      <c r="I364" s="161" t="s">
        <v>1057</v>
      </c>
      <c r="J364" s="161">
        <v>2</v>
      </c>
      <c r="K364" s="161">
        <v>2</v>
      </c>
      <c r="L364" s="160" t="s">
        <v>1057</v>
      </c>
      <c r="M364" s="160" t="s">
        <v>45</v>
      </c>
      <c r="N364" s="160" t="s">
        <v>804</v>
      </c>
      <c r="O364" s="160" t="s">
        <v>1091</v>
      </c>
      <c r="P364" s="160" t="s">
        <v>1059</v>
      </c>
      <c r="Q364" s="160" t="str">
        <f>CONCATENATE(25+(FLOOR(Data!E25/2,1)*5)," ft.")</f>
        <v>25 ft.</v>
      </c>
      <c r="R364" s="162" t="s">
        <v>46</v>
      </c>
      <c r="S364" s="160" t="str">
        <f>CONCATENATE(Data!E25," rnds")</f>
        <v>1 rnds</v>
      </c>
      <c r="T364" s="160" t="s">
        <v>1141</v>
      </c>
      <c r="U364" s="160" t="s">
        <v>805</v>
      </c>
      <c r="V364" s="160" t="s">
        <v>1057</v>
      </c>
    </row>
    <row r="365" spans="2:22" ht="11.25">
      <c r="B365" s="161" t="s">
        <v>1057</v>
      </c>
      <c r="C365" s="161" t="s">
        <v>1057</v>
      </c>
      <c r="D365" s="161" t="s">
        <v>1057</v>
      </c>
      <c r="E365" s="161" t="s">
        <v>1057</v>
      </c>
      <c r="F365" s="161" t="s">
        <v>1057</v>
      </c>
      <c r="G365" s="161" t="s">
        <v>1057</v>
      </c>
      <c r="H365" s="161" t="s">
        <v>1057</v>
      </c>
      <c r="I365" s="161" t="s">
        <v>1057</v>
      </c>
      <c r="J365" s="161" t="s">
        <v>1057</v>
      </c>
      <c r="K365" s="161" t="s">
        <v>1057</v>
      </c>
      <c r="L365" s="160" t="s">
        <v>256</v>
      </c>
      <c r="M365" s="160" t="s">
        <v>255</v>
      </c>
      <c r="N365" s="160" t="s">
        <v>1162</v>
      </c>
      <c r="O365" s="160" t="s">
        <v>1067</v>
      </c>
      <c r="P365" s="160" t="s">
        <v>1059</v>
      </c>
      <c r="Q365" s="160" t="str">
        <f>CONCATENATE(100+(10*Data!E25)," ft.")</f>
        <v>110 ft.</v>
      </c>
      <c r="R365" s="162" t="s">
        <v>257</v>
      </c>
      <c r="S365" s="160" t="s">
        <v>1087</v>
      </c>
      <c r="T365" s="160" t="s">
        <v>1087</v>
      </c>
      <c r="U365" s="160" t="s">
        <v>805</v>
      </c>
      <c r="V365" s="160" t="s">
        <v>1057</v>
      </c>
    </row>
    <row r="366" spans="2:22" ht="11.25">
      <c r="B366" s="161" t="s">
        <v>1057</v>
      </c>
      <c r="C366" s="161" t="s">
        <v>1057</v>
      </c>
      <c r="D366" s="161" t="s">
        <v>1057</v>
      </c>
      <c r="E366" s="161" t="s">
        <v>1057</v>
      </c>
      <c r="F366" s="161" t="s">
        <v>1057</v>
      </c>
      <c r="G366" s="161" t="s">
        <v>1057</v>
      </c>
      <c r="H366" s="161" t="s">
        <v>1057</v>
      </c>
      <c r="I366" s="161" t="s">
        <v>1057</v>
      </c>
      <c r="J366" s="161">
        <v>5</v>
      </c>
      <c r="K366" s="161">
        <v>5</v>
      </c>
      <c r="L366" s="160" t="s">
        <v>1057</v>
      </c>
      <c r="M366" s="160" t="s">
        <v>258</v>
      </c>
      <c r="N366" s="160" t="s">
        <v>811</v>
      </c>
      <c r="O366" s="160" t="s">
        <v>1067</v>
      </c>
      <c r="P366" s="160" t="s">
        <v>1059</v>
      </c>
      <c r="Q366" s="160" t="s">
        <v>817</v>
      </c>
      <c r="R366" s="162" t="s">
        <v>1084</v>
      </c>
      <c r="S366" s="160" t="str">
        <f>CONCATENATE(Data!E25," hours")</f>
        <v>1 hours</v>
      </c>
      <c r="T366" s="160" t="s">
        <v>1153</v>
      </c>
      <c r="U366" s="160" t="s">
        <v>1073</v>
      </c>
      <c r="V366" s="160" t="s">
        <v>1057</v>
      </c>
    </row>
    <row r="367" spans="2:22" ht="11.25">
      <c r="B367" s="161">
        <v>2</v>
      </c>
      <c r="C367" s="161" t="s">
        <v>1057</v>
      </c>
      <c r="D367" s="161">
        <v>2</v>
      </c>
      <c r="E367" s="161">
        <v>2</v>
      </c>
      <c r="F367" s="161">
        <v>2</v>
      </c>
      <c r="G367" s="161">
        <v>3</v>
      </c>
      <c r="H367" s="161">
        <v>3</v>
      </c>
      <c r="I367" s="161">
        <v>3</v>
      </c>
      <c r="J367" s="161" t="s">
        <v>1057</v>
      </c>
      <c r="L367" s="160" t="s">
        <v>1284</v>
      </c>
      <c r="M367" s="160" t="s">
        <v>859</v>
      </c>
      <c r="N367" s="160" t="s">
        <v>815</v>
      </c>
      <c r="O367" s="160" t="s">
        <v>1067</v>
      </c>
      <c r="P367" s="160" t="s">
        <v>1059</v>
      </c>
      <c r="Q367" s="160" t="s">
        <v>799</v>
      </c>
      <c r="R367" s="162" t="s">
        <v>1152</v>
      </c>
      <c r="S367" s="160" t="s">
        <v>1069</v>
      </c>
      <c r="T367" s="160" t="s">
        <v>1087</v>
      </c>
      <c r="U367" s="160" t="s">
        <v>1087</v>
      </c>
      <c r="V367" s="160" t="s">
        <v>1057</v>
      </c>
    </row>
    <row r="368" spans="2:22" ht="11.25">
      <c r="B368" s="161" t="s">
        <v>1057</v>
      </c>
      <c r="C368" s="161" t="s">
        <v>1057</v>
      </c>
      <c r="D368" s="161" t="s">
        <v>1057</v>
      </c>
      <c r="E368" s="161" t="s">
        <v>1057</v>
      </c>
      <c r="F368" s="161">
        <v>6</v>
      </c>
      <c r="G368" s="161">
        <v>6</v>
      </c>
      <c r="H368" s="161" t="s">
        <v>1057</v>
      </c>
      <c r="I368" s="161" t="s">
        <v>1057</v>
      </c>
      <c r="J368" s="161">
        <v>6</v>
      </c>
      <c r="K368" s="161">
        <v>6</v>
      </c>
      <c r="L368" s="160" t="s">
        <v>1057</v>
      </c>
      <c r="M368" s="160" t="s">
        <v>260</v>
      </c>
      <c r="N368" s="160" t="s">
        <v>811</v>
      </c>
      <c r="O368" s="160" t="s">
        <v>1064</v>
      </c>
      <c r="P368" s="160" t="s">
        <v>1059</v>
      </c>
      <c r="Q368" s="160" t="str">
        <f>CONCATENATE(25+(FLOOR(Data!E25/2,1)*5)," ft.")</f>
        <v>25 ft.</v>
      </c>
      <c r="R368" s="162" t="str">
        <f>CONCATENATE("Target: ",Data!E25," creatures within 30 ft. of each other")</f>
        <v>Target: 1 creatures within 30 ft. of each other</v>
      </c>
      <c r="S368" s="160" t="str">
        <f>CONCATENATE(Data!E25," min.")</f>
        <v>1 min.</v>
      </c>
      <c r="T368" s="160" t="s">
        <v>1153</v>
      </c>
      <c r="U368" s="160" t="s">
        <v>805</v>
      </c>
      <c r="V368" s="160" t="s">
        <v>1057</v>
      </c>
    </row>
    <row r="369" spans="2:22" ht="11.25">
      <c r="B369" s="161" t="s">
        <v>1057</v>
      </c>
      <c r="C369" s="161">
        <v>2</v>
      </c>
      <c r="D369" s="161" t="s">
        <v>1057</v>
      </c>
      <c r="E369" s="161" t="s">
        <v>1057</v>
      </c>
      <c r="F369" s="161" t="s">
        <v>1057</v>
      </c>
      <c r="G369" s="161">
        <v>1</v>
      </c>
      <c r="H369" s="161" t="s">
        <v>1057</v>
      </c>
      <c r="I369" s="161">
        <v>1</v>
      </c>
      <c r="J369" s="161" t="s">
        <v>1057</v>
      </c>
      <c r="K369" s="161" t="s">
        <v>1057</v>
      </c>
      <c r="L369" s="160" t="s">
        <v>1057</v>
      </c>
      <c r="M369" s="160" t="s">
        <v>261</v>
      </c>
      <c r="N369" s="160" t="s">
        <v>811</v>
      </c>
      <c r="O369" s="160" t="s">
        <v>1071</v>
      </c>
      <c r="P369" s="160" t="s">
        <v>1059</v>
      </c>
      <c r="Q369" s="160" t="s">
        <v>799</v>
      </c>
      <c r="R369" s="162" t="str">
        <f>CONCATENATE("Targets: ",Data!E25," creatures touched")</f>
        <v>Targets: 1 creatures touched</v>
      </c>
      <c r="S369" s="160" t="str">
        <f>CONCATENATE(Data!E25," hours [D]")</f>
        <v>1 hours [D]</v>
      </c>
      <c r="T369" s="160" t="s">
        <v>1153</v>
      </c>
      <c r="U369" s="160" t="s">
        <v>1073</v>
      </c>
      <c r="V369" s="160" t="s">
        <v>1057</v>
      </c>
    </row>
    <row r="370" spans="2:22" ht="11.25">
      <c r="B370" s="161" t="s">
        <v>1057</v>
      </c>
      <c r="C370" s="161" t="s">
        <v>1057</v>
      </c>
      <c r="D370" s="161" t="s">
        <v>1057</v>
      </c>
      <c r="E370" s="161" t="s">
        <v>1057</v>
      </c>
      <c r="F370" s="161" t="s">
        <v>1057</v>
      </c>
      <c r="G370" s="161" t="s">
        <v>1057</v>
      </c>
      <c r="H370" s="161" t="s">
        <v>1057</v>
      </c>
      <c r="I370" s="161" t="s">
        <v>1057</v>
      </c>
      <c r="J370" s="161">
        <v>5</v>
      </c>
      <c r="K370" s="161">
        <v>5</v>
      </c>
      <c r="L370" s="160" t="s">
        <v>1057</v>
      </c>
      <c r="M370" s="160" t="s">
        <v>262</v>
      </c>
      <c r="N370" s="160" t="s">
        <v>811</v>
      </c>
      <c r="O370" s="160" t="s">
        <v>1091</v>
      </c>
      <c r="P370" s="160" t="s">
        <v>1059</v>
      </c>
      <c r="Q370" s="160" t="s">
        <v>799</v>
      </c>
      <c r="R370" s="162" t="str">
        <f>CONCATENATE("Effect: 5 ft. by 8 ft. opening, ",(FLOOR(Data!E25/3,1)*5)+10," ft. deep")</f>
        <v>Effect: 5 ft. by 8 ft. opening, 10 ft. deep</v>
      </c>
      <c r="S370" s="160" t="str">
        <f>CONCATENATE(Data!E25," hours [D]")</f>
        <v>1 hours [D]</v>
      </c>
      <c r="T370" s="160" t="s">
        <v>1061</v>
      </c>
      <c r="U370" s="160" t="s">
        <v>801</v>
      </c>
      <c r="V370" s="160" t="s">
        <v>1057</v>
      </c>
    </row>
    <row r="371" spans="2:22" ht="11.25">
      <c r="B371" s="161" t="s">
        <v>1057</v>
      </c>
      <c r="C371" s="161" t="s">
        <v>1057</v>
      </c>
      <c r="D371" s="161" t="s">
        <v>1057</v>
      </c>
      <c r="E371" s="161" t="s">
        <v>1057</v>
      </c>
      <c r="F371" s="161" t="s">
        <v>1057</v>
      </c>
      <c r="G371" s="161" t="s">
        <v>1057</v>
      </c>
      <c r="H371" s="161" t="s">
        <v>1057</v>
      </c>
      <c r="I371" s="161" t="s">
        <v>1057</v>
      </c>
      <c r="J371" s="161">
        <v>5</v>
      </c>
      <c r="K371" s="161">
        <v>5</v>
      </c>
      <c r="L371" s="160" t="s">
        <v>1057</v>
      </c>
      <c r="M371" s="160" t="s">
        <v>263</v>
      </c>
      <c r="N371" s="160" t="s">
        <v>1123</v>
      </c>
      <c r="O371" s="160" t="s">
        <v>134</v>
      </c>
      <c r="P371" s="160" t="s">
        <v>264</v>
      </c>
      <c r="Q371" s="160" t="s">
        <v>1087</v>
      </c>
      <c r="R371" s="162" t="s">
        <v>1450</v>
      </c>
      <c r="S371" s="160" t="s">
        <v>1087</v>
      </c>
      <c r="T371" s="160" t="s">
        <v>1061</v>
      </c>
      <c r="U371" s="160" t="s">
        <v>801</v>
      </c>
      <c r="V371" s="160" t="s">
        <v>1057</v>
      </c>
    </row>
    <row r="372" spans="2:22" ht="11.25">
      <c r="B372" s="161" t="s">
        <v>1057</v>
      </c>
      <c r="C372" s="161" t="s">
        <v>1057</v>
      </c>
      <c r="D372" s="161">
        <v>6</v>
      </c>
      <c r="E372" s="161" t="s">
        <v>1057</v>
      </c>
      <c r="F372" s="161" t="s">
        <v>1057</v>
      </c>
      <c r="G372" s="161" t="s">
        <v>1057</v>
      </c>
      <c r="H372" s="161" t="s">
        <v>1057</v>
      </c>
      <c r="I372" s="161" t="s">
        <v>1057</v>
      </c>
      <c r="J372" s="161">
        <v>6</v>
      </c>
      <c r="K372" s="161">
        <v>6</v>
      </c>
      <c r="L372" s="160" t="s">
        <v>1057</v>
      </c>
      <c r="M372" s="160" t="s">
        <v>265</v>
      </c>
      <c r="N372" s="160" t="s">
        <v>1179</v>
      </c>
      <c r="O372" s="160" t="s">
        <v>1086</v>
      </c>
      <c r="P372" s="160" t="s">
        <v>1059</v>
      </c>
      <c r="Q372" s="160" t="str">
        <f>CONCATENATE(400+(40*Data!E25)," ft.")</f>
        <v>440 ft.</v>
      </c>
      <c r="R372" s="162" t="str">
        <f>CONCATENATE("Effect: Figment that cannot extend beyond a 20-ft. cube + ",Data!E25," 10-ft. cubes (S)")</f>
        <v>Effect: Figment that cannot extend beyond a 20-ft. cube + 1 10-ft. cubes (S)</v>
      </c>
      <c r="S372" s="160" t="s">
        <v>1176</v>
      </c>
      <c r="T372" s="160" t="s">
        <v>1462</v>
      </c>
      <c r="U372" s="160" t="s">
        <v>801</v>
      </c>
      <c r="V372" s="160" t="s">
        <v>1057</v>
      </c>
    </row>
    <row r="373" spans="2:22" ht="11.25">
      <c r="B373" s="161" t="s">
        <v>1057</v>
      </c>
      <c r="C373" s="161" t="s">
        <v>1057</v>
      </c>
      <c r="D373" s="161">
        <v>5</v>
      </c>
      <c r="E373" s="161" t="s">
        <v>1057</v>
      </c>
      <c r="F373" s="161" t="s">
        <v>1057</v>
      </c>
      <c r="G373" s="161" t="s">
        <v>1057</v>
      </c>
      <c r="H373" s="161" t="s">
        <v>1057</v>
      </c>
      <c r="I373" s="161" t="s">
        <v>1057</v>
      </c>
      <c r="J373" s="161">
        <v>5</v>
      </c>
      <c r="K373" s="161">
        <v>5</v>
      </c>
      <c r="L373" s="160" t="s">
        <v>1057</v>
      </c>
      <c r="M373" s="160" t="s">
        <v>266</v>
      </c>
      <c r="N373" s="160" t="s">
        <v>1179</v>
      </c>
      <c r="O373" s="160" t="s">
        <v>1086</v>
      </c>
      <c r="P373" s="160" t="s">
        <v>1059</v>
      </c>
      <c r="Q373" s="160" t="str">
        <f>CONCATENATE(400+(40*Data!E25)," ft.")</f>
        <v>440 ft.</v>
      </c>
      <c r="R373" s="162" t="str">
        <f>CONCATENATE("Effect: Visual figment that cannot extend beyond ",Data!E25+4," 10-ft. cubes (S)")</f>
        <v>Effect: Visual figment that cannot extend beyond 5 10-ft. cubes (S)</v>
      </c>
      <c r="S373" s="160" t="str">
        <f>CONCATENATE(Data!E25," min. [D]")</f>
        <v>1 min. [D]</v>
      </c>
      <c r="T373" s="160" t="s">
        <v>1462</v>
      </c>
      <c r="U373" s="160" t="s">
        <v>801</v>
      </c>
      <c r="V373" s="160" t="s">
        <v>1057</v>
      </c>
    </row>
    <row r="374" spans="2:22" ht="11.25">
      <c r="B374" s="161" t="s">
        <v>1057</v>
      </c>
      <c r="C374" s="161" t="s">
        <v>1057</v>
      </c>
      <c r="D374" s="161" t="s">
        <v>1057</v>
      </c>
      <c r="E374" s="161" t="s">
        <v>1057</v>
      </c>
      <c r="F374" s="161" t="s">
        <v>1057</v>
      </c>
      <c r="G374" s="161" t="s">
        <v>1057</v>
      </c>
      <c r="H374" s="161" t="s">
        <v>1057</v>
      </c>
      <c r="I374" s="161" t="s">
        <v>1057</v>
      </c>
      <c r="J374" s="161">
        <v>4</v>
      </c>
      <c r="K374" s="161">
        <v>4</v>
      </c>
      <c r="L374" s="160" t="s">
        <v>1057</v>
      </c>
      <c r="M374" s="160" t="s">
        <v>267</v>
      </c>
      <c r="N374" s="160" t="s">
        <v>1179</v>
      </c>
      <c r="O374" s="160" t="s">
        <v>1067</v>
      </c>
      <c r="P374" s="160" t="s">
        <v>1059</v>
      </c>
      <c r="Q374" s="160" t="str">
        <f>CONCATENATE(100+(10*Data!E25)," ft.")</f>
        <v>110 ft.</v>
      </c>
      <c r="R374" s="162" t="s">
        <v>1156</v>
      </c>
      <c r="S374" s="160" t="s">
        <v>1069</v>
      </c>
      <c r="T374" s="160" t="s">
        <v>1087</v>
      </c>
      <c r="U374" s="160" t="s">
        <v>805</v>
      </c>
      <c r="V374" s="160" t="s">
        <v>1057</v>
      </c>
    </row>
    <row r="375" spans="2:22" ht="11.25">
      <c r="B375" s="161" t="s">
        <v>1057</v>
      </c>
      <c r="C375" s="161" t="s">
        <v>1057</v>
      </c>
      <c r="D375" s="161">
        <v>3</v>
      </c>
      <c r="E375" s="161" t="s">
        <v>1057</v>
      </c>
      <c r="F375" s="161" t="s">
        <v>1057</v>
      </c>
      <c r="G375" s="161" t="s">
        <v>1057</v>
      </c>
      <c r="H375" s="161" t="s">
        <v>1057</v>
      </c>
      <c r="I375" s="161" t="s">
        <v>1057</v>
      </c>
      <c r="J375" s="161">
        <v>3</v>
      </c>
      <c r="K375" s="161">
        <v>3</v>
      </c>
      <c r="L375" s="160" t="s">
        <v>1057</v>
      </c>
      <c r="M375" s="160" t="s">
        <v>268</v>
      </c>
      <c r="N375" s="160" t="s">
        <v>815</v>
      </c>
      <c r="O375" s="160" t="s">
        <v>1067</v>
      </c>
      <c r="P375" s="160" t="s">
        <v>1118</v>
      </c>
      <c r="Q375" s="160" t="s">
        <v>1124</v>
      </c>
      <c r="R375" s="162" t="s">
        <v>269</v>
      </c>
      <c r="S375" s="160" t="str">
        <f>CONCATENATE(Data!E25," hours [D]")</f>
        <v>1 hours [D]</v>
      </c>
      <c r="T375" s="160" t="s">
        <v>1061</v>
      </c>
      <c r="U375" s="160" t="s">
        <v>801</v>
      </c>
      <c r="V375" s="160" t="s">
        <v>1057</v>
      </c>
    </row>
    <row r="376" spans="2:22" ht="11.25">
      <c r="B376" s="161" t="s">
        <v>1057</v>
      </c>
      <c r="C376" s="161" t="s">
        <v>1057</v>
      </c>
      <c r="D376" s="161" t="s">
        <v>1057</v>
      </c>
      <c r="E376" s="161" t="s">
        <v>1057</v>
      </c>
      <c r="F376" s="161" t="s">
        <v>1057</v>
      </c>
      <c r="G376" s="161" t="s">
        <v>1057</v>
      </c>
      <c r="H376" s="161" t="s">
        <v>1057</v>
      </c>
      <c r="I376" s="161" t="s">
        <v>1057</v>
      </c>
      <c r="J376" s="161">
        <v>7</v>
      </c>
      <c r="K376" s="161">
        <v>7</v>
      </c>
      <c r="L376" s="160" t="s">
        <v>271</v>
      </c>
      <c r="M376" s="160" t="s">
        <v>270</v>
      </c>
      <c r="N376" s="160" t="s">
        <v>815</v>
      </c>
      <c r="O376" s="160" t="s">
        <v>1104</v>
      </c>
      <c r="P376" s="160" t="s">
        <v>1059</v>
      </c>
      <c r="Q376" s="160" t="s">
        <v>1124</v>
      </c>
      <c r="R376" s="162" t="str">
        <f>CONCATENATE("Effect: Ethereal 5 ft. by 8 ft. opening, ",(FLOOR(Data!E25/3,1)*5)+10," ft. deep")</f>
        <v>Effect: Ethereal 5 ft. by 8 ft. opening, 10 ft. deep</v>
      </c>
      <c r="S376" s="160" t="str">
        <f>CONCATENATE(FLOOR(Data!E25/2,1)," usages")</f>
        <v>0 usages</v>
      </c>
      <c r="T376" s="160" t="s">
        <v>1061</v>
      </c>
      <c r="U376" s="160" t="s">
        <v>801</v>
      </c>
      <c r="V376" s="160" t="s">
        <v>1057</v>
      </c>
    </row>
    <row r="377" spans="2:22" ht="11.25">
      <c r="B377" s="161" t="s">
        <v>1057</v>
      </c>
      <c r="C377" s="161" t="s">
        <v>1057</v>
      </c>
      <c r="D377" s="161" t="s">
        <v>1057</v>
      </c>
      <c r="E377" s="161" t="s">
        <v>1057</v>
      </c>
      <c r="F377" s="161">
        <v>6</v>
      </c>
      <c r="G377" s="161" t="s">
        <v>1057</v>
      </c>
      <c r="H377" s="161" t="s">
        <v>1057</v>
      </c>
      <c r="I377" s="161" t="s">
        <v>1057</v>
      </c>
      <c r="J377" s="161" t="s">
        <v>1057</v>
      </c>
      <c r="K377" s="161" t="s">
        <v>1057</v>
      </c>
      <c r="L377" s="160" t="s">
        <v>1057</v>
      </c>
      <c r="M377" s="160" t="s">
        <v>272</v>
      </c>
      <c r="N377" s="160" t="s">
        <v>815</v>
      </c>
      <c r="O377" s="160" t="s">
        <v>1138</v>
      </c>
      <c r="P377" s="160" t="s">
        <v>1118</v>
      </c>
      <c r="Q377" s="160" t="str">
        <f>CONCATENATE(25+(FLOOR(Data!E25/2,1)*5)," ft.")</f>
        <v>25 ft.</v>
      </c>
      <c r="R377" s="162" t="s">
        <v>273</v>
      </c>
      <c r="S377" s="160" t="s">
        <v>1069</v>
      </c>
      <c r="T377" s="160" t="s">
        <v>1061</v>
      </c>
      <c r="U377" s="160" t="s">
        <v>801</v>
      </c>
      <c r="V377" s="160" t="s">
        <v>1057</v>
      </c>
    </row>
    <row r="378" spans="2:22" ht="11.25">
      <c r="B378" s="161" t="s">
        <v>1057</v>
      </c>
      <c r="C378" s="161" t="s">
        <v>1057</v>
      </c>
      <c r="D378" s="161" t="s">
        <v>1057</v>
      </c>
      <c r="E378" s="161" t="s">
        <v>1057</v>
      </c>
      <c r="F378" s="161">
        <v>8</v>
      </c>
      <c r="G378" s="161" t="s">
        <v>1057</v>
      </c>
      <c r="H378" s="161" t="s">
        <v>1057</v>
      </c>
      <c r="I378" s="161" t="s">
        <v>1057</v>
      </c>
      <c r="J378" s="161" t="s">
        <v>1057</v>
      </c>
      <c r="K378" s="161" t="s">
        <v>1057</v>
      </c>
      <c r="L378" s="160" t="s">
        <v>1057</v>
      </c>
      <c r="M378" s="160" t="s">
        <v>274</v>
      </c>
      <c r="N378" s="160" t="s">
        <v>815</v>
      </c>
      <c r="O378" s="160" t="s">
        <v>1138</v>
      </c>
      <c r="P378" s="160" t="s">
        <v>1118</v>
      </c>
      <c r="Q378" s="160" t="str">
        <f>CONCATENATE(25+(FLOOR(Data!E25/2,1)*5)," ft.")</f>
        <v>25 ft.</v>
      </c>
      <c r="R378" s="162" t="s">
        <v>275</v>
      </c>
      <c r="S378" s="160" t="s">
        <v>1069</v>
      </c>
      <c r="T378" s="160" t="s">
        <v>1061</v>
      </c>
      <c r="U378" s="160" t="s">
        <v>801</v>
      </c>
      <c r="V378" s="160" t="s">
        <v>276</v>
      </c>
    </row>
    <row r="379" spans="2:22" ht="11.25">
      <c r="B379" s="161" t="s">
        <v>1057</v>
      </c>
      <c r="C379" s="161" t="s">
        <v>1057</v>
      </c>
      <c r="D379" s="161" t="s">
        <v>1057</v>
      </c>
      <c r="E379" s="161" t="s">
        <v>1057</v>
      </c>
      <c r="F379" s="161">
        <v>4</v>
      </c>
      <c r="G379" s="161" t="s">
        <v>1057</v>
      </c>
      <c r="H379" s="161" t="s">
        <v>1057</v>
      </c>
      <c r="I379" s="161" t="s">
        <v>1057</v>
      </c>
      <c r="J379" s="161" t="s">
        <v>1057</v>
      </c>
      <c r="K379" s="161" t="s">
        <v>1057</v>
      </c>
      <c r="L379" s="160" t="s">
        <v>1057</v>
      </c>
      <c r="M379" s="160" t="s">
        <v>277</v>
      </c>
      <c r="N379" s="160" t="s">
        <v>815</v>
      </c>
      <c r="O379" s="160" t="s">
        <v>1138</v>
      </c>
      <c r="P379" s="160" t="s">
        <v>1118</v>
      </c>
      <c r="Q379" s="160" t="str">
        <f>CONCATENATE(25+(FLOOR(Data!E25/2,1)*5)," ft.")</f>
        <v>25 ft.</v>
      </c>
      <c r="R379" s="162" t="s">
        <v>278</v>
      </c>
      <c r="S379" s="160" t="s">
        <v>1069</v>
      </c>
      <c r="T379" s="160" t="s">
        <v>1061</v>
      </c>
      <c r="U379" s="160" t="s">
        <v>801</v>
      </c>
      <c r="V379" s="160" t="s">
        <v>1241</v>
      </c>
    </row>
    <row r="380" spans="2:22" ht="11.25">
      <c r="B380" s="161" t="s">
        <v>1057</v>
      </c>
      <c r="C380" s="161" t="s">
        <v>1057</v>
      </c>
      <c r="D380" s="161" t="s">
        <v>1057</v>
      </c>
      <c r="E380" s="161" t="s">
        <v>1057</v>
      </c>
      <c r="F380" s="161" t="s">
        <v>1057</v>
      </c>
      <c r="G380" s="161" t="s">
        <v>1057</v>
      </c>
      <c r="H380" s="161" t="s">
        <v>1057</v>
      </c>
      <c r="I380" s="161" t="s">
        <v>1057</v>
      </c>
      <c r="J380" s="161">
        <v>6</v>
      </c>
      <c r="K380" s="161">
        <v>6</v>
      </c>
      <c r="L380" s="160" t="s">
        <v>1057</v>
      </c>
      <c r="M380" s="160" t="s">
        <v>279</v>
      </c>
      <c r="N380" s="160" t="s">
        <v>815</v>
      </c>
      <c r="O380" s="160" t="s">
        <v>1067</v>
      </c>
      <c r="P380" s="160" t="s">
        <v>1118</v>
      </c>
      <c r="Q380" s="160" t="str">
        <f>CONCATENATE(25+(FLOOR(Data!E25/2,1)*5)," ft.")</f>
        <v>25 ft.</v>
      </c>
      <c r="R380" s="162" t="s">
        <v>280</v>
      </c>
      <c r="S380" s="160" t="s">
        <v>1069</v>
      </c>
      <c r="T380" s="160" t="s">
        <v>1141</v>
      </c>
      <c r="U380" s="160" t="s">
        <v>1087</v>
      </c>
      <c r="V380" s="160" t="s">
        <v>1057</v>
      </c>
    </row>
    <row r="381" spans="2:22" ht="11.25">
      <c r="B381" s="161" t="s">
        <v>1057</v>
      </c>
      <c r="C381" s="161" t="s">
        <v>1057</v>
      </c>
      <c r="D381" s="161" t="s">
        <v>1057</v>
      </c>
      <c r="E381" s="161" t="s">
        <v>1057</v>
      </c>
      <c r="F381" s="161" t="s">
        <v>1057</v>
      </c>
      <c r="G381" s="161" t="s">
        <v>1057</v>
      </c>
      <c r="H381" s="161" t="s">
        <v>1057</v>
      </c>
      <c r="I381" s="161" t="s">
        <v>1057</v>
      </c>
      <c r="J381" s="161">
        <v>8</v>
      </c>
      <c r="K381" s="161">
        <v>8</v>
      </c>
      <c r="L381" s="160" t="s">
        <v>1057</v>
      </c>
      <c r="M381" s="160" t="s">
        <v>281</v>
      </c>
      <c r="N381" s="160" t="s">
        <v>815</v>
      </c>
      <c r="O381" s="160" t="s">
        <v>1067</v>
      </c>
      <c r="P381" s="160" t="s">
        <v>1118</v>
      </c>
      <c r="Q381" s="160" t="str">
        <f>CONCATENATE(25+(FLOOR(Data!E25/2,1)*5)," ft.")</f>
        <v>25 ft.</v>
      </c>
      <c r="R381" s="162" t="s">
        <v>282</v>
      </c>
      <c r="S381" s="160" t="s">
        <v>1069</v>
      </c>
      <c r="T381" s="160" t="s">
        <v>1141</v>
      </c>
      <c r="U381" s="160" t="s">
        <v>1087</v>
      </c>
      <c r="V381" s="160" t="s">
        <v>1057</v>
      </c>
    </row>
    <row r="382" spans="2:22" ht="11.25">
      <c r="B382" s="161" t="s">
        <v>1057</v>
      </c>
      <c r="C382" s="161" t="s">
        <v>1057</v>
      </c>
      <c r="D382" s="161" t="s">
        <v>1057</v>
      </c>
      <c r="E382" s="161" t="s">
        <v>1057</v>
      </c>
      <c r="F382" s="161" t="s">
        <v>1057</v>
      </c>
      <c r="G382" s="161" t="s">
        <v>1057</v>
      </c>
      <c r="H382" s="161" t="s">
        <v>1057</v>
      </c>
      <c r="I382" s="161" t="s">
        <v>1057</v>
      </c>
      <c r="J382" s="161">
        <v>5</v>
      </c>
      <c r="K382" s="161">
        <v>5</v>
      </c>
      <c r="L382" s="160" t="s">
        <v>1057</v>
      </c>
      <c r="M382" s="160" t="s">
        <v>283</v>
      </c>
      <c r="N382" s="160" t="s">
        <v>815</v>
      </c>
      <c r="O382" s="160" t="s">
        <v>1067</v>
      </c>
      <c r="P382" s="160" t="s">
        <v>1118</v>
      </c>
      <c r="Q382" s="160" t="str">
        <f>CONCATENATE(25+(FLOOR(Data!E25/2,1)*5)," ft.")</f>
        <v>25 ft.</v>
      </c>
      <c r="R382" s="162" t="s">
        <v>284</v>
      </c>
      <c r="S382" s="160" t="s">
        <v>1069</v>
      </c>
      <c r="T382" s="160" t="s">
        <v>1141</v>
      </c>
      <c r="U382" s="160" t="s">
        <v>1087</v>
      </c>
      <c r="V382" s="160" t="s">
        <v>1057</v>
      </c>
    </row>
    <row r="383" spans="2:22" ht="11.25">
      <c r="B383" s="161" t="s">
        <v>1057</v>
      </c>
      <c r="C383" s="161" t="s">
        <v>1057</v>
      </c>
      <c r="D383" s="161" t="s">
        <v>1057</v>
      </c>
      <c r="E383" s="161" t="s">
        <v>1057</v>
      </c>
      <c r="F383" s="161">
        <v>5</v>
      </c>
      <c r="G383" s="161" t="s">
        <v>1057</v>
      </c>
      <c r="H383" s="161" t="s">
        <v>1057</v>
      </c>
      <c r="I383" s="161" t="s">
        <v>1057</v>
      </c>
      <c r="J383" s="161">
        <v>7</v>
      </c>
      <c r="K383" s="161">
        <v>7</v>
      </c>
      <c r="L383" s="160" t="s">
        <v>1057</v>
      </c>
      <c r="M383" s="160" t="s">
        <v>285</v>
      </c>
      <c r="N383" s="160" t="s">
        <v>815</v>
      </c>
      <c r="O383" s="160" t="s">
        <v>1086</v>
      </c>
      <c r="P383" s="160" t="s">
        <v>1059</v>
      </c>
      <c r="Q383" s="160" t="s">
        <v>799</v>
      </c>
      <c r="R383" s="162" t="s">
        <v>286</v>
      </c>
      <c r="S383" s="160" t="s">
        <v>1069</v>
      </c>
      <c r="T383" s="160" t="s">
        <v>1141</v>
      </c>
      <c r="U383" s="160" t="s">
        <v>805</v>
      </c>
      <c r="V383" s="160" t="s">
        <v>1057</v>
      </c>
    </row>
    <row r="384" spans="2:22" ht="11.25">
      <c r="B384" s="161" t="s">
        <v>1057</v>
      </c>
      <c r="C384" s="161" t="s">
        <v>1057</v>
      </c>
      <c r="D384" s="161" t="s">
        <v>1057</v>
      </c>
      <c r="E384" s="161" t="s">
        <v>1057</v>
      </c>
      <c r="F384" s="161" t="s">
        <v>1057</v>
      </c>
      <c r="G384" s="161">
        <v>3</v>
      </c>
      <c r="H384" s="161" t="s">
        <v>1057</v>
      </c>
      <c r="I384" s="161">
        <v>3</v>
      </c>
      <c r="J384" s="161" t="s">
        <v>1057</v>
      </c>
      <c r="K384" s="161" t="s">
        <v>1057</v>
      </c>
      <c r="L384" s="160" t="s">
        <v>288</v>
      </c>
      <c r="M384" s="160" t="s">
        <v>287</v>
      </c>
      <c r="N384" s="160" t="s">
        <v>811</v>
      </c>
      <c r="O384" s="160" t="s">
        <v>1071</v>
      </c>
      <c r="P384" s="160" t="s">
        <v>1059</v>
      </c>
      <c r="Q384" s="160" t="s">
        <v>1087</v>
      </c>
      <c r="R384" s="162" t="s">
        <v>1329</v>
      </c>
      <c r="S384" s="160" t="s">
        <v>1069</v>
      </c>
      <c r="T384" s="160" t="s">
        <v>1061</v>
      </c>
      <c r="U384" s="160" t="s">
        <v>801</v>
      </c>
      <c r="V384" s="160" t="s">
        <v>1057</v>
      </c>
    </row>
    <row r="385" spans="2:22" ht="11.25">
      <c r="B385" s="161" t="s">
        <v>1057</v>
      </c>
      <c r="C385" s="161">
        <v>4</v>
      </c>
      <c r="D385" s="161" t="s">
        <v>1057</v>
      </c>
      <c r="E385" s="161">
        <v>4</v>
      </c>
      <c r="F385" s="161">
        <v>4</v>
      </c>
      <c r="G385" s="161">
        <v>3</v>
      </c>
      <c r="H385" s="161" t="s">
        <v>1057</v>
      </c>
      <c r="I385" s="161" t="s">
        <v>1057</v>
      </c>
      <c r="J385" s="161" t="s">
        <v>1057</v>
      </c>
      <c r="K385" s="161" t="s">
        <v>1057</v>
      </c>
      <c r="L385" s="160" t="s">
        <v>1057</v>
      </c>
      <c r="M385" s="160" t="s">
        <v>926</v>
      </c>
      <c r="N385" s="160" t="s">
        <v>826</v>
      </c>
      <c r="O385" s="160" t="s">
        <v>1071</v>
      </c>
      <c r="P385" s="160" t="s">
        <v>1059</v>
      </c>
      <c r="Q385" s="160" t="s">
        <v>799</v>
      </c>
      <c r="R385" s="162" t="s">
        <v>1072</v>
      </c>
      <c r="S385" s="160" t="s">
        <v>1087</v>
      </c>
      <c r="T385" s="160" t="s">
        <v>1087</v>
      </c>
      <c r="U385" s="160" t="s">
        <v>805</v>
      </c>
      <c r="V385" s="160" t="s">
        <v>1057</v>
      </c>
    </row>
    <row r="386" spans="2:22" ht="11.25">
      <c r="B386" s="161" t="s">
        <v>1057</v>
      </c>
      <c r="C386" s="161" t="s">
        <v>1057</v>
      </c>
      <c r="D386" s="161" t="s">
        <v>1057</v>
      </c>
      <c r="E386" s="161" t="s">
        <v>1057</v>
      </c>
      <c r="F386" s="161" t="s">
        <v>1057</v>
      </c>
      <c r="G386" s="161" t="s">
        <v>1057</v>
      </c>
      <c r="H386" s="161" t="s">
        <v>1057</v>
      </c>
      <c r="I386" s="161" t="s">
        <v>1057</v>
      </c>
      <c r="J386" s="161">
        <v>8</v>
      </c>
      <c r="K386" s="161">
        <v>8</v>
      </c>
      <c r="L386" s="160" t="s">
        <v>1057</v>
      </c>
      <c r="M386" s="160" t="s">
        <v>289</v>
      </c>
      <c r="N386" s="160" t="s">
        <v>1162</v>
      </c>
      <c r="O386" s="160" t="s">
        <v>1086</v>
      </c>
      <c r="P386" s="160" t="s">
        <v>1059</v>
      </c>
      <c r="Q386" s="160" t="str">
        <f>CONCATENATE(25+(FLOOR(Data!E25/2,1)*5)," ft.")</f>
        <v>25 ft.</v>
      </c>
      <c r="R386" s="162" t="s">
        <v>1326</v>
      </c>
      <c r="S386" s="160" t="s">
        <v>1069</v>
      </c>
      <c r="T386" s="160" t="s">
        <v>1061</v>
      </c>
      <c r="U386" s="160" t="s">
        <v>805</v>
      </c>
      <c r="V386" s="160" t="s">
        <v>1057</v>
      </c>
    </row>
    <row r="387" spans="2:22" ht="11.25">
      <c r="B387" s="161">
        <v>4</v>
      </c>
      <c r="C387" s="161" t="s">
        <v>1057</v>
      </c>
      <c r="D387" s="161" t="s">
        <v>1057</v>
      </c>
      <c r="E387" s="161" t="s">
        <v>1057</v>
      </c>
      <c r="F387" s="161" t="s">
        <v>1057</v>
      </c>
      <c r="G387" s="161" t="s">
        <v>1057</v>
      </c>
      <c r="H387" s="161" t="s">
        <v>1057</v>
      </c>
      <c r="I387" s="161" t="s">
        <v>1057</v>
      </c>
      <c r="J387" s="161">
        <v>4</v>
      </c>
      <c r="K387" s="161">
        <v>4</v>
      </c>
      <c r="L387" s="160" t="s">
        <v>1057</v>
      </c>
      <c r="M387" s="160" t="s">
        <v>290</v>
      </c>
      <c r="N387" s="160" t="s">
        <v>811</v>
      </c>
      <c r="O387" s="160" t="s">
        <v>1091</v>
      </c>
      <c r="P387" s="160" t="s">
        <v>1059</v>
      </c>
      <c r="Q387" s="160" t="s">
        <v>799</v>
      </c>
      <c r="R387" s="162" t="s">
        <v>291</v>
      </c>
      <c r="S387" s="160" t="str">
        <f>CONCATENATE(Data!E25," min. [D]")</f>
        <v>1 min. [D]</v>
      </c>
      <c r="T387" s="160" t="s">
        <v>1061</v>
      </c>
      <c r="U387" s="160" t="s">
        <v>801</v>
      </c>
      <c r="V387" s="160" t="s">
        <v>1057</v>
      </c>
    </row>
    <row r="388" spans="2:22" ht="11.25">
      <c r="B388" s="161" t="s">
        <v>1057</v>
      </c>
      <c r="C388" s="161" t="s">
        <v>1057</v>
      </c>
      <c r="D388" s="161" t="s">
        <v>1057</v>
      </c>
      <c r="E388" s="161" t="s">
        <v>1057</v>
      </c>
      <c r="F388" s="161" t="s">
        <v>1057</v>
      </c>
      <c r="G388" s="161" t="s">
        <v>1057</v>
      </c>
      <c r="H388" s="161" t="s">
        <v>1057</v>
      </c>
      <c r="I388" s="161" t="s">
        <v>1057</v>
      </c>
      <c r="J388" s="161">
        <v>8</v>
      </c>
      <c r="K388" s="161">
        <v>8</v>
      </c>
      <c r="L388" s="160" t="s">
        <v>293</v>
      </c>
      <c r="M388" s="160" t="s">
        <v>292</v>
      </c>
      <c r="N388" s="160" t="s">
        <v>811</v>
      </c>
      <c r="O388" s="160" t="s">
        <v>1064</v>
      </c>
      <c r="P388" s="160" t="s">
        <v>1059</v>
      </c>
      <c r="Q388" s="160" t="str">
        <f>CONCATENATE(25+(FLOOR(Data!E25/2,1)*5)," ft.")</f>
        <v>25 ft.</v>
      </c>
      <c r="R388" s="162" t="str">
        <f>CONCATENATE("Target: One creature, or one nonmagical object of up to ",Data!E25*100," cu. ft")</f>
        <v>Target: One creature, or one nonmagical object of up to 100 cu. ft</v>
      </c>
      <c r="S388" s="160" t="s">
        <v>1087</v>
      </c>
      <c r="T388" s="160" t="s">
        <v>1087</v>
      </c>
      <c r="U388" s="160" t="s">
        <v>1170</v>
      </c>
      <c r="V388" s="160" t="s">
        <v>1057</v>
      </c>
    </row>
    <row r="389" spans="2:22" ht="11.25">
      <c r="B389" s="161" t="s">
        <v>1057</v>
      </c>
      <c r="C389" s="161" t="s">
        <v>1057</v>
      </c>
      <c r="D389" s="161" t="s">
        <v>1057</v>
      </c>
      <c r="E389" s="161" t="s">
        <v>1057</v>
      </c>
      <c r="F389" s="161" t="s">
        <v>1057</v>
      </c>
      <c r="G389" s="161" t="s">
        <v>1057</v>
      </c>
      <c r="H389" s="161" t="s">
        <v>1057</v>
      </c>
      <c r="I389" s="161" t="s">
        <v>1057</v>
      </c>
      <c r="J389" s="161">
        <v>7</v>
      </c>
      <c r="K389" s="161">
        <v>7</v>
      </c>
      <c r="L389" s="160" t="s">
        <v>295</v>
      </c>
      <c r="M389" s="160" t="s">
        <v>294</v>
      </c>
      <c r="N389" s="160" t="s">
        <v>804</v>
      </c>
      <c r="O389" s="160" t="s">
        <v>1104</v>
      </c>
      <c r="P389" s="160" t="s">
        <v>1059</v>
      </c>
      <c r="Q389" s="160" t="str">
        <f>CONCATENATE(25+(FLOOR(Data!E25/2,1)*5)," ft.")</f>
        <v>25 ft.</v>
      </c>
      <c r="R389" s="162" t="s">
        <v>296</v>
      </c>
      <c r="S389" s="160" t="s">
        <v>1087</v>
      </c>
      <c r="T389" s="160" t="s">
        <v>1061</v>
      </c>
      <c r="U389" s="160" t="s">
        <v>805</v>
      </c>
      <c r="V389" s="160" t="s">
        <v>1057</v>
      </c>
    </row>
    <row r="390" spans="2:22" ht="11.25">
      <c r="B390" s="161" t="s">
        <v>1057</v>
      </c>
      <c r="C390" s="161" t="s">
        <v>1057</v>
      </c>
      <c r="D390" s="161" t="s">
        <v>1057</v>
      </c>
      <c r="E390" s="161" t="s">
        <v>1057</v>
      </c>
      <c r="F390" s="161" t="s">
        <v>1057</v>
      </c>
      <c r="G390" s="161" t="s">
        <v>1057</v>
      </c>
      <c r="H390" s="161" t="s">
        <v>1057</v>
      </c>
      <c r="I390" s="161" t="s">
        <v>1057</v>
      </c>
      <c r="J390" s="161">
        <v>9</v>
      </c>
      <c r="K390" s="161">
        <v>9</v>
      </c>
      <c r="L390" s="160" t="s">
        <v>298</v>
      </c>
      <c r="M390" s="160" t="s">
        <v>297</v>
      </c>
      <c r="N390" s="160" t="s">
        <v>804</v>
      </c>
      <c r="O390" s="160" t="s">
        <v>1104</v>
      </c>
      <c r="P390" s="160" t="s">
        <v>1059</v>
      </c>
      <c r="Q390" s="160" t="str">
        <f>CONCATENATE(25+(FLOOR(Data!E25/2,1)*5)," ft.")</f>
        <v>25 ft.</v>
      </c>
      <c r="R390" s="162" t="s">
        <v>299</v>
      </c>
      <c r="S390" s="160" t="s">
        <v>1069</v>
      </c>
      <c r="T390" s="160" t="s">
        <v>1061</v>
      </c>
      <c r="U390" s="160" t="s">
        <v>805</v>
      </c>
      <c r="V390" s="160" t="s">
        <v>1057</v>
      </c>
    </row>
    <row r="391" spans="2:22" ht="11.25">
      <c r="B391" s="161" t="s">
        <v>1057</v>
      </c>
      <c r="C391" s="161" t="s">
        <v>1057</v>
      </c>
      <c r="D391" s="161" t="s">
        <v>1057</v>
      </c>
      <c r="E391" s="161" t="s">
        <v>1057</v>
      </c>
      <c r="F391" s="161" t="s">
        <v>1057</v>
      </c>
      <c r="G391" s="161" t="s">
        <v>1057</v>
      </c>
      <c r="H391" s="161" t="s">
        <v>1057</v>
      </c>
      <c r="I391" s="161" t="s">
        <v>1057</v>
      </c>
      <c r="J391" s="161">
        <v>8</v>
      </c>
      <c r="K391" s="161">
        <v>8</v>
      </c>
      <c r="L391" s="160" t="s">
        <v>301</v>
      </c>
      <c r="M391" s="160" t="s">
        <v>300</v>
      </c>
      <c r="N391" s="160" t="s">
        <v>804</v>
      </c>
      <c r="O391" s="160" t="s">
        <v>1104</v>
      </c>
      <c r="P391" s="160" t="s">
        <v>1059</v>
      </c>
      <c r="Q391" s="160" t="str">
        <f>CONCATENATE(25+(FLOOR(Data!E25/2,1)*5)," ft.")</f>
        <v>25 ft.</v>
      </c>
      <c r="R391" s="162" t="s">
        <v>302</v>
      </c>
      <c r="S391" s="160" t="s">
        <v>1087</v>
      </c>
      <c r="T391" s="160" t="s">
        <v>1061</v>
      </c>
      <c r="U391" s="160" t="s">
        <v>805</v>
      </c>
      <c r="V391" s="160" t="s">
        <v>1057</v>
      </c>
    </row>
    <row r="392" spans="2:22" ht="11.25">
      <c r="B392" s="161" t="s">
        <v>1057</v>
      </c>
      <c r="C392" s="161" t="s">
        <v>1057</v>
      </c>
      <c r="D392" s="161" t="s">
        <v>1057</v>
      </c>
      <c r="E392" s="161" t="s">
        <v>1057</v>
      </c>
      <c r="F392" s="161">
        <v>3</v>
      </c>
      <c r="G392" s="161" t="s">
        <v>1057</v>
      </c>
      <c r="H392" s="161">
        <v>3</v>
      </c>
      <c r="I392" s="161" t="s">
        <v>1057</v>
      </c>
      <c r="J392" s="161" t="s">
        <v>1057</v>
      </c>
      <c r="K392" s="161" t="s">
        <v>1057</v>
      </c>
      <c r="L392" s="160" t="s">
        <v>1057</v>
      </c>
      <c r="M392" s="160" t="s">
        <v>901</v>
      </c>
      <c r="N392" s="160" t="s">
        <v>804</v>
      </c>
      <c r="O392" s="160" t="s">
        <v>1071</v>
      </c>
      <c r="P392" s="160" t="s">
        <v>1059</v>
      </c>
      <c r="Q392" s="160" t="s">
        <v>1165</v>
      </c>
      <c r="R392" s="162" t="s">
        <v>303</v>
      </c>
      <c r="S392" s="160" t="str">
        <f>CONCATENATE(Data!E25," rnds")</f>
        <v>1 rnds</v>
      </c>
      <c r="T392" s="160" t="s">
        <v>1061</v>
      </c>
      <c r="U392" s="160" t="s">
        <v>805</v>
      </c>
      <c r="V392" s="160" t="s">
        <v>1057</v>
      </c>
    </row>
    <row r="393" spans="2:22" ht="11.25">
      <c r="B393" s="161" t="s">
        <v>1057</v>
      </c>
      <c r="C393" s="161" t="s">
        <v>1057</v>
      </c>
      <c r="D393" s="161">
        <v>2</v>
      </c>
      <c r="E393" s="161" t="s">
        <v>1057</v>
      </c>
      <c r="F393" s="161" t="s">
        <v>1057</v>
      </c>
      <c r="G393" s="161" t="s">
        <v>1057</v>
      </c>
      <c r="H393" s="161" t="s">
        <v>1057</v>
      </c>
      <c r="I393" s="161" t="s">
        <v>1057</v>
      </c>
      <c r="J393" s="161">
        <v>2</v>
      </c>
      <c r="K393" s="161">
        <v>2</v>
      </c>
      <c r="L393" s="160" t="s">
        <v>1057</v>
      </c>
      <c r="M393" s="160" t="s">
        <v>68</v>
      </c>
      <c r="N393" s="160" t="s">
        <v>1179</v>
      </c>
      <c r="O393" s="160" t="s">
        <v>1087</v>
      </c>
      <c r="P393" s="160" t="s">
        <v>1059</v>
      </c>
      <c r="Q393" s="160" t="str">
        <f>CONCATENATE(100+(10*Data!E25)," ft.")</f>
        <v>110 ft.</v>
      </c>
      <c r="R393" s="162" t="s">
        <v>69</v>
      </c>
      <c r="S393" s="160" t="s">
        <v>70</v>
      </c>
      <c r="T393" s="160" t="s">
        <v>1141</v>
      </c>
      <c r="U393" s="160" t="s">
        <v>805</v>
      </c>
      <c r="V393" s="160" t="s">
        <v>1057</v>
      </c>
    </row>
    <row r="394" spans="2:22" ht="11.25">
      <c r="B394" s="161" t="s">
        <v>1057</v>
      </c>
      <c r="C394" s="161" t="s">
        <v>1057</v>
      </c>
      <c r="D394" s="161" t="s">
        <v>1057</v>
      </c>
      <c r="E394" s="161" t="s">
        <v>1057</v>
      </c>
      <c r="F394" s="161" t="s">
        <v>1057</v>
      </c>
      <c r="G394" s="161" t="s">
        <v>1057</v>
      </c>
      <c r="H394" s="161" t="s">
        <v>1057</v>
      </c>
      <c r="I394" s="161" t="s">
        <v>1057</v>
      </c>
      <c r="J394" s="161">
        <v>9</v>
      </c>
      <c r="K394" s="161">
        <v>9</v>
      </c>
      <c r="L394" s="160" t="s">
        <v>305</v>
      </c>
      <c r="M394" s="160" t="s">
        <v>304</v>
      </c>
      <c r="N394" s="160" t="s">
        <v>845</v>
      </c>
      <c r="O394" s="160" t="s">
        <v>1104</v>
      </c>
      <c r="P394" s="160" t="s">
        <v>1059</v>
      </c>
      <c r="Q394" s="160" t="s">
        <v>1109</v>
      </c>
      <c r="R394" s="162" t="s">
        <v>306</v>
      </c>
      <c r="S394" s="160" t="str">
        <f>CONCATENATE(Data!E25*10," min. [D]")</f>
        <v>10 min. [D]</v>
      </c>
      <c r="T394" s="160" t="s">
        <v>1087</v>
      </c>
      <c r="U394" s="160" t="s">
        <v>1087</v>
      </c>
      <c r="V394" s="160" t="s">
        <v>1057</v>
      </c>
    </row>
    <row r="395" spans="2:22" ht="11.25">
      <c r="B395" s="161" t="s">
        <v>1057</v>
      </c>
      <c r="C395" s="161" t="s">
        <v>1057</v>
      </c>
      <c r="D395" s="161" t="s">
        <v>1057</v>
      </c>
      <c r="E395" s="161" t="s">
        <v>1057</v>
      </c>
      <c r="F395" s="161" t="s">
        <v>1057</v>
      </c>
      <c r="G395" s="161" t="s">
        <v>1057</v>
      </c>
      <c r="H395" s="161" t="s">
        <v>1057</v>
      </c>
      <c r="I395" s="161" t="s">
        <v>1057</v>
      </c>
      <c r="J395" s="161">
        <v>7</v>
      </c>
      <c r="K395" s="161">
        <v>7</v>
      </c>
      <c r="L395" s="160" t="s">
        <v>1057</v>
      </c>
      <c r="M395" s="160" t="s">
        <v>307</v>
      </c>
      <c r="N395" s="160" t="s">
        <v>1162</v>
      </c>
      <c r="O395" s="160" t="s">
        <v>1067</v>
      </c>
      <c r="P395" s="160" t="s">
        <v>1059</v>
      </c>
      <c r="Q395" s="160" t="s">
        <v>1246</v>
      </c>
      <c r="R395" s="162" t="s">
        <v>1187</v>
      </c>
      <c r="S395" s="160" t="s">
        <v>1069</v>
      </c>
      <c r="T395" s="160" t="s">
        <v>1087</v>
      </c>
      <c r="U395" s="160" t="s">
        <v>805</v>
      </c>
      <c r="V395" s="160" t="s">
        <v>1057</v>
      </c>
    </row>
    <row r="396" spans="2:22" ht="11.25">
      <c r="B396" s="161" t="s">
        <v>1057</v>
      </c>
      <c r="C396" s="161" t="s">
        <v>1057</v>
      </c>
      <c r="D396" s="161" t="s">
        <v>1057</v>
      </c>
      <c r="E396" s="161" t="s">
        <v>1057</v>
      </c>
      <c r="F396" s="161" t="s">
        <v>1057</v>
      </c>
      <c r="G396" s="161" t="s">
        <v>1057</v>
      </c>
      <c r="H396" s="161" t="s">
        <v>1057</v>
      </c>
      <c r="I396" s="161" t="s">
        <v>1057</v>
      </c>
      <c r="J396" s="161">
        <v>8</v>
      </c>
      <c r="K396" s="161">
        <v>8</v>
      </c>
      <c r="L396" s="160" t="s">
        <v>1057</v>
      </c>
      <c r="M396" s="160" t="s">
        <v>308</v>
      </c>
      <c r="N396" s="160" t="s">
        <v>845</v>
      </c>
      <c r="O396" s="160" t="s">
        <v>1067</v>
      </c>
      <c r="P396" s="160" t="s">
        <v>1059</v>
      </c>
      <c r="Q396" s="160" t="str">
        <f>CONCATENATE(25+(FLOOR(Data!E25/2,1)*5)," ft.")</f>
        <v>25 ft.</v>
      </c>
      <c r="R396" s="162" t="str">
        <f>CONCATENATE("Effect: Wall ",Data!E25*4," ft wide, ",Data!E25*2," ft high")</f>
        <v>Effect: Wall 4 ft wide, 2 ft high</v>
      </c>
      <c r="S396" s="160" t="str">
        <f>CONCATENATE(Data!E25*10," min. [D]")</f>
        <v>10 min. [D]</v>
      </c>
      <c r="T396" s="160" t="s">
        <v>1087</v>
      </c>
      <c r="U396" s="160" t="s">
        <v>1087</v>
      </c>
      <c r="V396" s="160" t="s">
        <v>1057</v>
      </c>
    </row>
    <row r="397" spans="2:22" ht="11.25">
      <c r="B397" s="161" t="s">
        <v>1057</v>
      </c>
      <c r="C397" s="161" t="s">
        <v>1057</v>
      </c>
      <c r="D397" s="161" t="s">
        <v>1057</v>
      </c>
      <c r="E397" s="161" t="s">
        <v>1057</v>
      </c>
      <c r="F397" s="161" t="s">
        <v>1057</v>
      </c>
      <c r="G397" s="161">
        <v>1</v>
      </c>
      <c r="H397" s="161" t="s">
        <v>1057</v>
      </c>
      <c r="I397" s="161" t="s">
        <v>1057</v>
      </c>
      <c r="J397" s="161" t="s">
        <v>1057</v>
      </c>
      <c r="K397" s="161" t="s">
        <v>1057</v>
      </c>
      <c r="L397" s="160" t="s">
        <v>310</v>
      </c>
      <c r="M397" s="160" t="s">
        <v>309</v>
      </c>
      <c r="N397" s="160" t="s">
        <v>1162</v>
      </c>
      <c r="O397" s="160" t="s">
        <v>1067</v>
      </c>
      <c r="P397" s="160" t="s">
        <v>1059</v>
      </c>
      <c r="Q397" s="160" t="s">
        <v>1124</v>
      </c>
      <c r="R397" s="162" t="s">
        <v>311</v>
      </c>
      <c r="S397" s="160" t="str">
        <f>CONCATENATE(Data!E25," min. [D]")</f>
        <v>1 min. [D]</v>
      </c>
      <c r="T397" s="160" t="s">
        <v>1061</v>
      </c>
      <c r="U397" s="160" t="s">
        <v>805</v>
      </c>
      <c r="V397" s="160" t="s">
        <v>1057</v>
      </c>
    </row>
    <row r="398" spans="2:22" ht="11.25">
      <c r="B398" s="161" t="s">
        <v>1057</v>
      </c>
      <c r="C398" s="161" t="s">
        <v>1057</v>
      </c>
      <c r="D398" s="161">
        <v>6</v>
      </c>
      <c r="E398" s="161" t="s">
        <v>1057</v>
      </c>
      <c r="F398" s="161" t="s">
        <v>1057</v>
      </c>
      <c r="G398" s="161" t="s">
        <v>1057</v>
      </c>
      <c r="H398" s="161" t="s">
        <v>1057</v>
      </c>
      <c r="I398" s="161" t="s">
        <v>1057</v>
      </c>
      <c r="J398" s="161">
        <v>6</v>
      </c>
      <c r="K398" s="161">
        <v>6</v>
      </c>
      <c r="L398" s="160" t="s">
        <v>1057</v>
      </c>
      <c r="M398" s="160" t="s">
        <v>312</v>
      </c>
      <c r="N398" s="160" t="s">
        <v>1179</v>
      </c>
      <c r="O398" s="160" t="s">
        <v>1086</v>
      </c>
      <c r="P398" s="160" t="s">
        <v>1059</v>
      </c>
      <c r="Q398" s="160" t="str">
        <f>CONCATENATE(400+(40*Data!E25)," ft.")</f>
        <v>440 ft.</v>
      </c>
      <c r="R398" s="162" t="str">
        <f>CONCATENATE("Effect: Visual figment that cannot extend beyond a 20-ft. cube + ",Data!E25," 10-ft. cubes (S)")</f>
        <v>Effect: Visual figment that cannot extend beyond a 20-ft. cube + 1 10-ft. cubes (S)</v>
      </c>
      <c r="S398" s="160" t="str">
        <f>CONCATENATE(Data!E25," rnds after triggered")</f>
        <v>1 rnds after triggered</v>
      </c>
      <c r="T398" s="160" t="s">
        <v>1462</v>
      </c>
      <c r="U398" s="160" t="s">
        <v>801</v>
      </c>
      <c r="V398" s="160" t="s">
        <v>1122</v>
      </c>
    </row>
    <row r="399" spans="2:22" ht="11.25">
      <c r="B399" s="161" t="s">
        <v>1057</v>
      </c>
      <c r="C399" s="161" t="s">
        <v>1057</v>
      </c>
      <c r="D399" s="161">
        <v>6</v>
      </c>
      <c r="E399" s="161" t="s">
        <v>1057</v>
      </c>
      <c r="F399" s="161" t="s">
        <v>1057</v>
      </c>
      <c r="G399" s="161" t="s">
        <v>1057</v>
      </c>
      <c r="H399" s="161" t="s">
        <v>1057</v>
      </c>
      <c r="I399" s="161" t="s">
        <v>1057</v>
      </c>
      <c r="J399" s="161">
        <v>7</v>
      </c>
      <c r="K399" s="161">
        <v>7</v>
      </c>
      <c r="L399" s="160" t="s">
        <v>1057</v>
      </c>
      <c r="M399" s="160" t="s">
        <v>313</v>
      </c>
      <c r="N399" s="160" t="s">
        <v>1179</v>
      </c>
      <c r="O399" s="160" t="s">
        <v>1091</v>
      </c>
      <c r="P399" s="160" t="s">
        <v>1059</v>
      </c>
      <c r="Q399" s="160" t="str">
        <f>CONCATENATE(100+(10*Data!E25)," ft.")</f>
        <v>110 ft.</v>
      </c>
      <c r="R399" s="162" t="s">
        <v>314</v>
      </c>
      <c r="S399" s="160" t="str">
        <f>CONCATENATE(Data!E25," rnds [D]")</f>
        <v>1 rnds [D]</v>
      </c>
      <c r="T399" s="160" t="s">
        <v>1462</v>
      </c>
      <c r="U399" s="160" t="s">
        <v>801</v>
      </c>
      <c r="V399" s="160" t="s">
        <v>315</v>
      </c>
    </row>
    <row r="400" spans="2:22" ht="11.25">
      <c r="B400" s="161">
        <v>2</v>
      </c>
      <c r="C400" s="161">
        <v>2</v>
      </c>
      <c r="D400" s="161">
        <v>2</v>
      </c>
      <c r="E400" s="161" t="s">
        <v>1057</v>
      </c>
      <c r="F400" s="161" t="s">
        <v>1057</v>
      </c>
      <c r="G400" s="161" t="s">
        <v>1057</v>
      </c>
      <c r="H400" s="161" t="s">
        <v>1057</v>
      </c>
      <c r="I400" s="161" t="s">
        <v>1057</v>
      </c>
      <c r="J400" s="161">
        <v>2</v>
      </c>
      <c r="K400" s="161">
        <v>2</v>
      </c>
      <c r="L400" s="160" t="s">
        <v>110</v>
      </c>
      <c r="M400" s="160" t="s">
        <v>109</v>
      </c>
      <c r="N400" s="160" t="s">
        <v>1179</v>
      </c>
      <c r="O400" s="160" t="s">
        <v>1064</v>
      </c>
      <c r="P400" s="160" t="s">
        <v>1059</v>
      </c>
      <c r="Q400" s="160" t="s">
        <v>799</v>
      </c>
      <c r="R400" s="162" t="str">
        <f>CONCATENATE("Target: You or a creature or object weighing no more than ",Data!E25*100," lbs")</f>
        <v>Target: You or a creature or object weighing no more than 100 lbs</v>
      </c>
      <c r="S400" s="160" t="str">
        <f>CONCATENATE(Data!E25," min. [D]")</f>
        <v>1 min. [D]</v>
      </c>
      <c r="T400" s="160" t="s">
        <v>1081</v>
      </c>
      <c r="U400" s="160" t="s">
        <v>1082</v>
      </c>
      <c r="V400" s="160" t="s">
        <v>1057</v>
      </c>
    </row>
    <row r="401" spans="2:22" ht="11.25">
      <c r="B401" s="161" t="s">
        <v>1057</v>
      </c>
      <c r="C401" s="161" t="s">
        <v>1057</v>
      </c>
      <c r="D401" s="161" t="s">
        <v>1057</v>
      </c>
      <c r="E401" s="161" t="s">
        <v>1057</v>
      </c>
      <c r="F401" s="161" t="s">
        <v>1057</v>
      </c>
      <c r="G401" s="161" t="s">
        <v>1057</v>
      </c>
      <c r="H401" s="161" t="s">
        <v>1057</v>
      </c>
      <c r="I401" s="161" t="s">
        <v>1057</v>
      </c>
      <c r="J401" s="161">
        <v>2</v>
      </c>
      <c r="K401" s="161">
        <v>2</v>
      </c>
      <c r="L401" s="160" t="s">
        <v>1057</v>
      </c>
      <c r="M401" s="160" t="s">
        <v>125</v>
      </c>
      <c r="N401" s="160" t="s">
        <v>811</v>
      </c>
      <c r="O401" s="160" t="s">
        <v>1104</v>
      </c>
      <c r="P401" s="160" t="s">
        <v>1059</v>
      </c>
      <c r="Q401" s="160" t="str">
        <f>CONCATENATE(100+(10*Data!E25)," ft.")</f>
        <v>110 ft.</v>
      </c>
      <c r="R401" s="162" t="str">
        <f>CONCATENATE("Target: One door, box, or chest with an area of up to ",10*Data!E25," sq. ft.")</f>
        <v>Target: One door, box, or chest with an area of up to 10 sq. ft.</v>
      </c>
      <c r="S401" s="160" t="s">
        <v>1087</v>
      </c>
      <c r="T401" s="160" t="s">
        <v>1061</v>
      </c>
      <c r="U401" s="160" t="s">
        <v>801</v>
      </c>
      <c r="V401" s="160" t="s">
        <v>1057</v>
      </c>
    </row>
    <row r="402" spans="2:22" ht="11.25">
      <c r="B402" s="161" t="s">
        <v>1057</v>
      </c>
      <c r="C402" s="161" t="s">
        <v>1057</v>
      </c>
      <c r="D402" s="161" t="s">
        <v>1057</v>
      </c>
      <c r="E402" s="161">
        <v>3</v>
      </c>
      <c r="F402" s="161">
        <v>3</v>
      </c>
      <c r="G402" s="161">
        <v>3</v>
      </c>
      <c r="H402" s="161" t="s">
        <v>1057</v>
      </c>
      <c r="I402" s="161">
        <v>2</v>
      </c>
      <c r="J402" s="161">
        <v>3</v>
      </c>
      <c r="K402" s="161">
        <v>3</v>
      </c>
      <c r="L402" s="160" t="s">
        <v>320</v>
      </c>
      <c r="M402" s="160" t="s">
        <v>319</v>
      </c>
      <c r="N402" s="160" t="s">
        <v>845</v>
      </c>
      <c r="O402" s="160" t="s">
        <v>1071</v>
      </c>
      <c r="P402" s="160" t="s">
        <v>1059</v>
      </c>
      <c r="Q402" s="160" t="s">
        <v>799</v>
      </c>
      <c r="R402" s="162" t="s">
        <v>1152</v>
      </c>
      <c r="S402" s="160" t="str">
        <f>CONCATENATE(Data!E25*10," min. or until dis.")</f>
        <v>10 min. or until dis.</v>
      </c>
      <c r="T402" s="160" t="s">
        <v>1300</v>
      </c>
      <c r="U402" s="160" t="s">
        <v>1073</v>
      </c>
      <c r="V402" s="160" t="s">
        <v>1057</v>
      </c>
    </row>
    <row r="403" spans="2:22" ht="11.25">
      <c r="B403" s="161" t="s">
        <v>1057</v>
      </c>
      <c r="C403" s="161" t="s">
        <v>1057</v>
      </c>
      <c r="D403" s="161" t="s">
        <v>1057</v>
      </c>
      <c r="E403" s="161">
        <v>2</v>
      </c>
      <c r="F403" s="161">
        <v>2</v>
      </c>
      <c r="G403" s="161" t="s">
        <v>1057</v>
      </c>
      <c r="H403" s="161" t="s">
        <v>1057</v>
      </c>
      <c r="I403" s="161" t="s">
        <v>1057</v>
      </c>
      <c r="J403" s="161" t="s">
        <v>1057</v>
      </c>
      <c r="K403" s="161" t="s">
        <v>1057</v>
      </c>
      <c r="L403" s="160" t="s">
        <v>1295</v>
      </c>
      <c r="M403" s="160" t="s">
        <v>861</v>
      </c>
      <c r="N403" s="160" t="s">
        <v>826</v>
      </c>
      <c r="O403" s="160" t="s">
        <v>1067</v>
      </c>
      <c r="P403" s="160" t="s">
        <v>1059</v>
      </c>
      <c r="Q403" s="160" t="s">
        <v>799</v>
      </c>
      <c r="R403" s="162" t="s">
        <v>1072</v>
      </c>
      <c r="S403" s="160" t="s">
        <v>1087</v>
      </c>
      <c r="T403" s="160" t="s">
        <v>1141</v>
      </c>
      <c r="U403" s="160" t="s">
        <v>805</v>
      </c>
      <c r="V403" s="160" t="s">
        <v>1057</v>
      </c>
    </row>
    <row r="404" spans="2:22" ht="11.25">
      <c r="B404" s="161">
        <v>2</v>
      </c>
      <c r="C404" s="161" t="s">
        <v>1057</v>
      </c>
      <c r="D404" s="161">
        <v>2</v>
      </c>
      <c r="E404" s="161" t="s">
        <v>1057</v>
      </c>
      <c r="F404" s="161">
        <v>2</v>
      </c>
      <c r="G404" s="161">
        <v>2</v>
      </c>
      <c r="H404" s="161">
        <v>2</v>
      </c>
      <c r="I404" s="161">
        <v>1</v>
      </c>
      <c r="J404" s="161" t="s">
        <v>1057</v>
      </c>
      <c r="K404" s="161" t="s">
        <v>1057</v>
      </c>
      <c r="L404" s="160" t="s">
        <v>1057</v>
      </c>
      <c r="M404" s="160" t="s">
        <v>862</v>
      </c>
      <c r="N404" s="160" t="s">
        <v>815</v>
      </c>
      <c r="O404" s="160" t="s">
        <v>1071</v>
      </c>
      <c r="P404" s="160" t="s">
        <v>1059</v>
      </c>
      <c r="Q404" s="160" t="s">
        <v>799</v>
      </c>
      <c r="R404" s="162" t="s">
        <v>1152</v>
      </c>
      <c r="S404" s="160" t="str">
        <f>CONCATENATE(Data!E25," hours")</f>
        <v>1 hours</v>
      </c>
      <c r="T404" s="160" t="s">
        <v>1300</v>
      </c>
      <c r="U404" s="160" t="s">
        <v>1073</v>
      </c>
      <c r="V404" s="160" t="s">
        <v>1057</v>
      </c>
    </row>
    <row r="405" spans="2:22" ht="11.25">
      <c r="B405" s="161" t="s">
        <v>1057</v>
      </c>
      <c r="C405" s="161" t="s">
        <v>1057</v>
      </c>
      <c r="D405" s="161" t="s">
        <v>1057</v>
      </c>
      <c r="E405" s="161" t="s">
        <v>1057</v>
      </c>
      <c r="F405" s="161">
        <v>2</v>
      </c>
      <c r="G405" s="161" t="s">
        <v>1057</v>
      </c>
      <c r="H405" s="161" t="s">
        <v>1057</v>
      </c>
      <c r="I405" s="161" t="s">
        <v>1057</v>
      </c>
      <c r="J405" s="161" t="s">
        <v>1057</v>
      </c>
      <c r="K405" s="161" t="s">
        <v>1057</v>
      </c>
      <c r="L405" s="160" t="s">
        <v>1303</v>
      </c>
      <c r="M405" s="160" t="s">
        <v>863</v>
      </c>
      <c r="N405" s="160" t="s">
        <v>1162</v>
      </c>
      <c r="O405" s="160" t="s">
        <v>1251</v>
      </c>
      <c r="P405" s="160" t="s">
        <v>1059</v>
      </c>
      <c r="Q405" s="160" t="str">
        <f>CONCATENATE(25+(FLOOR(Data!E25/2,1)*5)," ft.")</f>
        <v>25 ft.</v>
      </c>
      <c r="R405" s="162" t="s">
        <v>1252</v>
      </c>
      <c r="S405" s="160" t="str">
        <f>CONCATENATE(Data!E25*2," hours")</f>
        <v>2 hours</v>
      </c>
      <c r="T405" s="160" t="s">
        <v>1061</v>
      </c>
      <c r="U405" s="160" t="s">
        <v>805</v>
      </c>
      <c r="V405" s="160" t="s">
        <v>1122</v>
      </c>
    </row>
    <row r="406" spans="2:22" ht="11.25">
      <c r="B406" s="161" t="s">
        <v>1057</v>
      </c>
      <c r="C406" s="161" t="s">
        <v>1057</v>
      </c>
      <c r="D406" s="161" t="s">
        <v>1057</v>
      </c>
      <c r="E406" s="161" t="s">
        <v>1057</v>
      </c>
      <c r="F406" s="161" t="s">
        <v>1057</v>
      </c>
      <c r="G406" s="161" t="s">
        <v>1057</v>
      </c>
      <c r="H406" s="161" t="s">
        <v>1057</v>
      </c>
      <c r="I406" s="161" t="s">
        <v>1057</v>
      </c>
      <c r="J406" s="161">
        <v>8</v>
      </c>
      <c r="K406" s="161">
        <v>8</v>
      </c>
      <c r="L406" s="160" t="s">
        <v>328</v>
      </c>
      <c r="M406" s="160" t="s">
        <v>327</v>
      </c>
      <c r="N406" s="160" t="s">
        <v>845</v>
      </c>
      <c r="O406" s="160" t="s">
        <v>1058</v>
      </c>
      <c r="P406" s="160" t="s">
        <v>1059</v>
      </c>
      <c r="Q406" s="160" t="s">
        <v>799</v>
      </c>
      <c r="R406" s="162" t="str">
        <f>CONCATENATE("Targets: Up to ",FLOOR(Data!E25/4,1)," creatures touched")</f>
        <v>Targets: Up to 0 creatures touched</v>
      </c>
      <c r="S406" s="160" t="str">
        <f>CONCATENATE(Data!E25*10," min.")</f>
        <v>10 min.</v>
      </c>
      <c r="T406" s="160" t="s">
        <v>1153</v>
      </c>
      <c r="U406" s="160" t="s">
        <v>1073</v>
      </c>
      <c r="V406" s="160" t="s">
        <v>1134</v>
      </c>
    </row>
    <row r="407" spans="2:22" ht="11.25">
      <c r="B407" s="161" t="s">
        <v>1057</v>
      </c>
      <c r="C407" s="161" t="s">
        <v>1057</v>
      </c>
      <c r="D407" s="161" t="s">
        <v>1057</v>
      </c>
      <c r="E407" s="161" t="s">
        <v>1057</v>
      </c>
      <c r="F407" s="161" t="s">
        <v>1057</v>
      </c>
      <c r="G407" s="161" t="s">
        <v>1057</v>
      </c>
      <c r="H407" s="161" t="s">
        <v>1057</v>
      </c>
      <c r="I407" s="161" t="s">
        <v>1057</v>
      </c>
      <c r="J407" s="161">
        <v>5</v>
      </c>
      <c r="K407" s="161">
        <v>5</v>
      </c>
      <c r="L407" s="160" t="s">
        <v>1057</v>
      </c>
      <c r="M407" s="160" t="s">
        <v>329</v>
      </c>
      <c r="N407" s="160" t="s">
        <v>822</v>
      </c>
      <c r="O407" s="160" t="s">
        <v>1091</v>
      </c>
      <c r="P407" s="160" t="s">
        <v>1135</v>
      </c>
      <c r="Q407" s="160" t="s">
        <v>330</v>
      </c>
      <c r="R407" s="162" t="s">
        <v>331</v>
      </c>
      <c r="S407" s="160" t="s">
        <v>1087</v>
      </c>
      <c r="T407" s="160" t="s">
        <v>1061</v>
      </c>
      <c r="U407" s="160" t="s">
        <v>801</v>
      </c>
      <c r="V407" s="160" t="s">
        <v>1057</v>
      </c>
    </row>
    <row r="408" spans="2:22" ht="11.25">
      <c r="B408" s="161" t="s">
        <v>1057</v>
      </c>
      <c r="C408" s="161" t="s">
        <v>1057</v>
      </c>
      <c r="D408" s="161" t="s">
        <v>1057</v>
      </c>
      <c r="E408" s="161" t="s">
        <v>1057</v>
      </c>
      <c r="F408" s="161" t="s">
        <v>1057</v>
      </c>
      <c r="G408" s="161" t="s">
        <v>1057</v>
      </c>
      <c r="H408" s="161" t="s">
        <v>1057</v>
      </c>
      <c r="I408" s="161" t="s">
        <v>1057</v>
      </c>
      <c r="J408" s="161">
        <v>8</v>
      </c>
      <c r="K408" s="161">
        <v>8</v>
      </c>
      <c r="L408" s="160" t="s">
        <v>1057</v>
      </c>
      <c r="M408" s="160" t="s">
        <v>332</v>
      </c>
      <c r="N408" s="160" t="s">
        <v>822</v>
      </c>
      <c r="O408" s="160" t="s">
        <v>1091</v>
      </c>
      <c r="P408" s="160" t="s">
        <v>1135</v>
      </c>
      <c r="Q408" s="160" t="s">
        <v>330</v>
      </c>
      <c r="R408" s="162" t="s">
        <v>331</v>
      </c>
      <c r="S408" s="160" t="s">
        <v>1087</v>
      </c>
      <c r="T408" s="160" t="s">
        <v>1061</v>
      </c>
      <c r="U408" s="160" t="s">
        <v>801</v>
      </c>
      <c r="V408" s="160" t="s">
        <v>1057</v>
      </c>
    </row>
    <row r="409" spans="2:22" ht="11.25">
      <c r="B409" s="161" t="s">
        <v>1057</v>
      </c>
      <c r="C409" s="161" t="s">
        <v>1057</v>
      </c>
      <c r="D409" s="161" t="s">
        <v>1057</v>
      </c>
      <c r="E409" s="161" t="s">
        <v>1057</v>
      </c>
      <c r="F409" s="161" t="s">
        <v>1057</v>
      </c>
      <c r="G409" s="161" t="s">
        <v>1057</v>
      </c>
      <c r="H409" s="161" t="s">
        <v>1057</v>
      </c>
      <c r="I409" s="161" t="s">
        <v>1057</v>
      </c>
      <c r="J409" s="161">
        <v>2</v>
      </c>
      <c r="K409" s="161">
        <v>2</v>
      </c>
      <c r="L409" s="160" t="s">
        <v>1057</v>
      </c>
      <c r="M409" s="160" t="s">
        <v>129</v>
      </c>
      <c r="N409" s="160" t="s">
        <v>811</v>
      </c>
      <c r="O409" s="160" t="s">
        <v>1086</v>
      </c>
      <c r="P409" s="160" t="s">
        <v>1059</v>
      </c>
      <c r="Q409" s="160" t="str">
        <f>CONCATENATE(25+(FLOOR(Data!E25/2,1)*5)," ft.")</f>
        <v>25 ft.</v>
      </c>
      <c r="R409" s="162" t="str">
        <f>CONCATENATE("Target: You or one willing creature or one object, total weight up to ",Data!E25*100," lbs")</f>
        <v>Target: You or one willing creature or one object, total weight up to 100 lbs</v>
      </c>
      <c r="S409" s="160" t="str">
        <f>CONCATENATE(Data!E25," min. [D]")</f>
        <v>1 min. [D]</v>
      </c>
      <c r="T409" s="160" t="s">
        <v>1061</v>
      </c>
      <c r="U409" s="160" t="s">
        <v>801</v>
      </c>
      <c r="V409" s="160" t="s">
        <v>1057</v>
      </c>
    </row>
    <row r="410" spans="2:22" ht="11.25">
      <c r="B410" s="161" t="s">
        <v>1057</v>
      </c>
      <c r="C410" s="161" t="s">
        <v>1057</v>
      </c>
      <c r="D410" s="161">
        <v>2</v>
      </c>
      <c r="E410" s="161" t="s">
        <v>1057</v>
      </c>
      <c r="F410" s="161">
        <v>3</v>
      </c>
      <c r="G410" s="161" t="s">
        <v>1057</v>
      </c>
      <c r="H410" s="161" t="s">
        <v>1057</v>
      </c>
      <c r="I410" s="161" t="s">
        <v>1057</v>
      </c>
      <c r="J410" s="161">
        <v>2</v>
      </c>
      <c r="K410" s="161">
        <v>2</v>
      </c>
      <c r="L410" s="160" t="s">
        <v>139</v>
      </c>
      <c r="M410" s="160" t="s">
        <v>893</v>
      </c>
      <c r="N410" s="160" t="s">
        <v>822</v>
      </c>
      <c r="O410" s="160" t="s">
        <v>1077</v>
      </c>
      <c r="P410" s="160" t="s">
        <v>1059</v>
      </c>
      <c r="Q410" s="160" t="str">
        <f>CONCATENATE(400+(40*Data!E25)," ft.")</f>
        <v>440 ft.</v>
      </c>
      <c r="R410" s="162" t="str">
        <f>CONCATENATE("Area: Circle, centered on you, with a radius of ",400+(Data!E25*40)," ft.")</f>
        <v>Area: Circle, centered on you, with a radius of 440 ft.</v>
      </c>
      <c r="S410" s="160" t="str">
        <f>CONCATENATE(Data!E25," min.")</f>
        <v>1 min.</v>
      </c>
      <c r="T410" s="160" t="s">
        <v>1061</v>
      </c>
      <c r="U410" s="160" t="s">
        <v>801</v>
      </c>
      <c r="V410" s="160" t="s">
        <v>1057</v>
      </c>
    </row>
    <row r="411" spans="2:22" ht="11.25">
      <c r="B411" s="161" t="s">
        <v>1057</v>
      </c>
      <c r="C411" s="161" t="s">
        <v>1057</v>
      </c>
      <c r="D411" s="161" t="s">
        <v>1057</v>
      </c>
      <c r="E411" s="161" t="s">
        <v>1057</v>
      </c>
      <c r="F411" s="161" t="s">
        <v>1057</v>
      </c>
      <c r="G411" s="161">
        <v>3</v>
      </c>
      <c r="H411" s="161" t="s">
        <v>1057</v>
      </c>
      <c r="I411" s="161" t="s">
        <v>1057</v>
      </c>
      <c r="J411" s="161" t="s">
        <v>1057</v>
      </c>
      <c r="K411" s="161" t="s">
        <v>1057</v>
      </c>
      <c r="L411" s="160" t="s">
        <v>1057</v>
      </c>
      <c r="M411" s="160" t="s">
        <v>336</v>
      </c>
      <c r="N411" s="160" t="s">
        <v>811</v>
      </c>
      <c r="O411" s="160" t="s">
        <v>1071</v>
      </c>
      <c r="P411" s="160" t="s">
        <v>1059</v>
      </c>
      <c r="Q411" s="160" t="str">
        <f>CONCATENATE(100+(10*Data!E25)," ft.")</f>
        <v>110 ft.</v>
      </c>
      <c r="R411" s="162" t="str">
        <f>CONCATENATE("Area or Target: ",Data!E25," 20-ft. cubes (S) or one fire-based magic item")</f>
        <v>Area or Target: 1 20-ft. cubes (S) or one fire-based magic item</v>
      </c>
      <c r="S411" s="160" t="s">
        <v>1069</v>
      </c>
      <c r="T411" s="160" t="s">
        <v>337</v>
      </c>
      <c r="U411" s="160" t="s">
        <v>338</v>
      </c>
      <c r="V411" s="160" t="s">
        <v>1057</v>
      </c>
    </row>
    <row r="412" spans="2:22" ht="11.25">
      <c r="B412" s="161" t="s">
        <v>1057</v>
      </c>
      <c r="C412" s="161" t="s">
        <v>1057</v>
      </c>
      <c r="D412" s="161">
        <v>2</v>
      </c>
      <c r="E412" s="161" t="s">
        <v>1057</v>
      </c>
      <c r="F412" s="161" t="s">
        <v>1057</v>
      </c>
      <c r="G412" s="161" t="s">
        <v>1057</v>
      </c>
      <c r="H412" s="161" t="s">
        <v>1057</v>
      </c>
      <c r="I412" s="161" t="s">
        <v>1057</v>
      </c>
      <c r="J412" s="161">
        <v>3</v>
      </c>
      <c r="K412" s="161">
        <v>3</v>
      </c>
      <c r="L412" s="160" t="s">
        <v>1057</v>
      </c>
      <c r="M412" s="160" t="s">
        <v>339</v>
      </c>
      <c r="N412" s="160" t="s">
        <v>804</v>
      </c>
      <c r="O412" s="160" t="s">
        <v>1067</v>
      </c>
      <c r="P412" s="160" t="s">
        <v>1059</v>
      </c>
      <c r="Q412" s="160" t="str">
        <f>CONCATENATE(100+(10*Data!E25)," ft.")</f>
        <v>110 ft.</v>
      </c>
      <c r="R412" s="162" t="str">
        <f>CONCATENATE("Targets: ",FLOOR(Data!E25/3,1)," willing living creatures within 30 ft. of each other")</f>
        <v>Targets: 0 willing living creatures within 30 ft. of each other</v>
      </c>
      <c r="S412" s="160" t="str">
        <f>CONCATENATE("Con. + ",Data!E25," rnds [D]")</f>
        <v>Con. + 1 rnds [D]</v>
      </c>
      <c r="T412" s="160" t="s">
        <v>1061</v>
      </c>
      <c r="U412" s="160" t="s">
        <v>805</v>
      </c>
      <c r="V412" s="160" t="s">
        <v>1057</v>
      </c>
    </row>
    <row r="413" spans="2:22" ht="11.25">
      <c r="B413" s="161" t="s">
        <v>1057</v>
      </c>
      <c r="C413" s="161" t="s">
        <v>1057</v>
      </c>
      <c r="D413" s="161">
        <v>4</v>
      </c>
      <c r="E413" s="161" t="s">
        <v>1057</v>
      </c>
      <c r="F413" s="161" t="s">
        <v>1057</v>
      </c>
      <c r="G413" s="161" t="s">
        <v>1057</v>
      </c>
      <c r="H413" s="161" t="s">
        <v>1057</v>
      </c>
      <c r="I413" s="161" t="s">
        <v>1057</v>
      </c>
      <c r="J413" s="161">
        <v>4</v>
      </c>
      <c r="K413" s="161">
        <v>4</v>
      </c>
      <c r="L413" s="160" t="s">
        <v>1057</v>
      </c>
      <c r="M413" s="160" t="s">
        <v>340</v>
      </c>
      <c r="N413" s="160" t="s">
        <v>1179</v>
      </c>
      <c r="O413" s="160" t="s">
        <v>1087</v>
      </c>
      <c r="P413" s="160" t="s">
        <v>1059</v>
      </c>
      <c r="Q413" s="160" t="str">
        <f>CONCATENATE(100+(10*Data!E25)," ft.")</f>
        <v>110 ft.</v>
      </c>
      <c r="R413" s="162" t="s">
        <v>341</v>
      </c>
      <c r="S413" s="160" t="str">
        <f>CONCATENATE("Con. + ",Data!E25," rnds [D]")</f>
        <v>Con. + 1 rnds [D]</v>
      </c>
      <c r="T413" s="160" t="s">
        <v>1141</v>
      </c>
      <c r="U413" s="160" t="s">
        <v>805</v>
      </c>
      <c r="V413" s="160" t="s">
        <v>1057</v>
      </c>
    </row>
    <row r="414" spans="2:22" ht="11.25">
      <c r="B414" s="161">
        <v>5</v>
      </c>
      <c r="C414" s="161" t="s">
        <v>1057</v>
      </c>
      <c r="D414" s="161" t="s">
        <v>1057</v>
      </c>
      <c r="E414" s="161" t="s">
        <v>1057</v>
      </c>
      <c r="F414" s="161">
        <v>5</v>
      </c>
      <c r="G414" s="161" t="s">
        <v>1057</v>
      </c>
      <c r="H414" s="161" t="s">
        <v>1057</v>
      </c>
      <c r="I414" s="161" t="s">
        <v>1057</v>
      </c>
      <c r="J414" s="161" t="s">
        <v>1057</v>
      </c>
      <c r="K414" s="161" t="s">
        <v>1057</v>
      </c>
      <c r="L414" s="160" t="s">
        <v>1057</v>
      </c>
      <c r="M414" s="160" t="s">
        <v>342</v>
      </c>
      <c r="N414" s="160" t="s">
        <v>815</v>
      </c>
      <c r="O414" s="160" t="s">
        <v>1251</v>
      </c>
      <c r="P414" s="160" t="s">
        <v>1135</v>
      </c>
      <c r="Q414" s="160" t="s">
        <v>799</v>
      </c>
      <c r="R414" s="162" t="s">
        <v>343</v>
      </c>
      <c r="S414" s="160" t="s">
        <v>1069</v>
      </c>
      <c r="T414" s="160" t="s">
        <v>1087</v>
      </c>
      <c r="U414" s="160" t="s">
        <v>1073</v>
      </c>
      <c r="V414" s="160" t="s">
        <v>344</v>
      </c>
    </row>
    <row r="415" spans="2:22" ht="11.25">
      <c r="B415" s="161" t="s">
        <v>1057</v>
      </c>
      <c r="C415" s="161" t="s">
        <v>1057</v>
      </c>
      <c r="D415" s="161">
        <v>1</v>
      </c>
      <c r="E415" s="161" t="s">
        <v>1057</v>
      </c>
      <c r="F415" s="161" t="s">
        <v>1057</v>
      </c>
      <c r="G415" s="161" t="s">
        <v>1057</v>
      </c>
      <c r="H415" s="161" t="s">
        <v>1057</v>
      </c>
      <c r="I415" s="161" t="s">
        <v>1057</v>
      </c>
      <c r="J415" s="161">
        <v>2</v>
      </c>
      <c r="K415" s="161">
        <v>2</v>
      </c>
      <c r="L415" s="160" t="s">
        <v>1057</v>
      </c>
      <c r="M415" s="160" t="s">
        <v>169</v>
      </c>
      <c r="N415" s="160" t="s">
        <v>1179</v>
      </c>
      <c r="O415" s="160" t="s">
        <v>1091</v>
      </c>
      <c r="P415" s="160" t="s">
        <v>1059</v>
      </c>
      <c r="Q415" s="160" t="str">
        <f>CONCATENATE(25+(FLOOR(Data!E25/2,1)*5)," ft.")</f>
        <v>25 ft.</v>
      </c>
      <c r="R415" s="162" t="s">
        <v>1332</v>
      </c>
      <c r="S415" s="160" t="s">
        <v>107</v>
      </c>
      <c r="T415" s="160" t="s">
        <v>1169</v>
      </c>
      <c r="U415" s="160" t="s">
        <v>1170</v>
      </c>
      <c r="V415" s="160" t="s">
        <v>170</v>
      </c>
    </row>
    <row r="416" spans="2:22" ht="11.25">
      <c r="B416" s="161" t="s">
        <v>1057</v>
      </c>
      <c r="C416" s="161" t="s">
        <v>1057</v>
      </c>
      <c r="D416" s="161" t="s">
        <v>1057</v>
      </c>
      <c r="E416" s="161" t="s">
        <v>1057</v>
      </c>
      <c r="F416" s="161" t="s">
        <v>1057</v>
      </c>
      <c r="G416" s="161" t="s">
        <v>1057</v>
      </c>
      <c r="H416" s="161" t="s">
        <v>1057</v>
      </c>
      <c r="I416" s="161" t="s">
        <v>1057</v>
      </c>
      <c r="J416" s="161">
        <v>3</v>
      </c>
      <c r="K416" s="161">
        <v>3</v>
      </c>
      <c r="L416" s="160" t="s">
        <v>1057</v>
      </c>
      <c r="M416" s="160" t="s">
        <v>346</v>
      </c>
      <c r="N416" s="160" t="s">
        <v>826</v>
      </c>
      <c r="O416" s="160" t="s">
        <v>1091</v>
      </c>
      <c r="P416" s="160" t="s">
        <v>1059</v>
      </c>
      <c r="Q416" s="160" t="str">
        <f>CONCATENATE(25+(FLOOR(Data!E25/2,1)*5)," ft.")</f>
        <v>25 ft.</v>
      </c>
      <c r="R416" s="162" t="s">
        <v>1326</v>
      </c>
      <c r="S416" s="160" t="str">
        <f>CONCATENATE(Data!E25," min.")</f>
        <v>1 min.</v>
      </c>
      <c r="T416" s="160" t="s">
        <v>1087</v>
      </c>
      <c r="U416" s="160" t="s">
        <v>805</v>
      </c>
      <c r="V416" s="160" t="s">
        <v>1057</v>
      </c>
    </row>
    <row r="417" spans="2:22" ht="11.25">
      <c r="B417" s="161">
        <v>2</v>
      </c>
      <c r="C417" s="161" t="s">
        <v>1057</v>
      </c>
      <c r="D417" s="161" t="s">
        <v>1057</v>
      </c>
      <c r="E417" s="161">
        <v>2</v>
      </c>
      <c r="F417" s="161">
        <v>2</v>
      </c>
      <c r="G417" s="161">
        <v>2</v>
      </c>
      <c r="H417" s="161">
        <v>2</v>
      </c>
      <c r="I417" s="161" t="s">
        <v>1057</v>
      </c>
      <c r="J417" s="161">
        <v>2</v>
      </c>
      <c r="K417" s="161">
        <v>2</v>
      </c>
      <c r="L417" s="160" t="s">
        <v>1057</v>
      </c>
      <c r="M417" s="160" t="s">
        <v>1151</v>
      </c>
      <c r="N417" s="160" t="s">
        <v>811</v>
      </c>
      <c r="O417" s="160" t="s">
        <v>1071</v>
      </c>
      <c r="P417" s="160" t="s">
        <v>1059</v>
      </c>
      <c r="Q417" s="160" t="s">
        <v>799</v>
      </c>
      <c r="R417" s="162" t="s">
        <v>1152</v>
      </c>
      <c r="S417" s="160" t="str">
        <f>CONCATENATE(Data!E25," min.")</f>
        <v>1 min.</v>
      </c>
      <c r="T417" s="160" t="s">
        <v>1153</v>
      </c>
      <c r="U417" s="160" t="s">
        <v>805</v>
      </c>
      <c r="V417" s="160" t="s">
        <v>1057</v>
      </c>
    </row>
    <row r="418" spans="2:22" ht="11.25">
      <c r="B418" s="161" t="s">
        <v>1057</v>
      </c>
      <c r="C418" s="161" t="s">
        <v>1057</v>
      </c>
      <c r="D418" s="161">
        <v>2</v>
      </c>
      <c r="E418" s="161" t="s">
        <v>1057</v>
      </c>
      <c r="F418" s="161">
        <v>2</v>
      </c>
      <c r="G418" s="161" t="s">
        <v>1057</v>
      </c>
      <c r="H418" s="161" t="s">
        <v>1057</v>
      </c>
      <c r="I418" s="161" t="s">
        <v>1057</v>
      </c>
      <c r="J418" s="161" t="s">
        <v>1057</v>
      </c>
      <c r="K418" s="161" t="s">
        <v>1057</v>
      </c>
      <c r="L418" s="160" t="s">
        <v>1057</v>
      </c>
      <c r="M418" s="160" t="s">
        <v>864</v>
      </c>
      <c r="N418" s="160" t="s">
        <v>804</v>
      </c>
      <c r="O418" s="160" t="s">
        <v>1067</v>
      </c>
      <c r="P418" s="160" t="s">
        <v>1108</v>
      </c>
      <c r="Q418" s="160" t="str">
        <f>CONCATENATE(100+(10*Data!E25)," ft.")</f>
        <v>110 ft.</v>
      </c>
      <c r="R418" s="162" t="s">
        <v>1382</v>
      </c>
      <c r="S418" s="160" t="str">
        <f>CONCATENATE(Data!E25," hour or less")</f>
        <v>1 hour or less</v>
      </c>
      <c r="T418" s="160" t="s">
        <v>1087</v>
      </c>
      <c r="U418" s="160" t="s">
        <v>805</v>
      </c>
      <c r="V418" s="160" t="s">
        <v>1057</v>
      </c>
    </row>
    <row r="419" spans="2:22" ht="11.25">
      <c r="B419" s="161" t="s">
        <v>1057</v>
      </c>
      <c r="C419" s="161" t="s">
        <v>1057</v>
      </c>
      <c r="D419" s="161" t="s">
        <v>1057</v>
      </c>
      <c r="E419" s="161" t="s">
        <v>1057</v>
      </c>
      <c r="F419" s="161" t="s">
        <v>1057</v>
      </c>
      <c r="G419" s="161">
        <v>2</v>
      </c>
      <c r="H419" s="161" t="s">
        <v>1057</v>
      </c>
      <c r="I419" s="161">
        <v>3</v>
      </c>
      <c r="J419" s="161" t="s">
        <v>1057</v>
      </c>
      <c r="K419" s="161" t="s">
        <v>1057</v>
      </c>
      <c r="L419" s="160" t="s">
        <v>1057</v>
      </c>
      <c r="M419" s="160" t="s">
        <v>347</v>
      </c>
      <c r="N419" s="160" t="s">
        <v>811</v>
      </c>
      <c r="O419" s="160" t="s">
        <v>1067</v>
      </c>
      <c r="P419" s="160" t="s">
        <v>1059</v>
      </c>
      <c r="Q419" s="160" t="s">
        <v>799</v>
      </c>
      <c r="R419" s="162" t="s">
        <v>348</v>
      </c>
      <c r="S419" s="160" t="str">
        <f>CONCATENATE(Data!E25," hours [D]")</f>
        <v>1 hours [D]</v>
      </c>
      <c r="T419" s="160" t="s">
        <v>1061</v>
      </c>
      <c r="U419" s="160" t="s">
        <v>801</v>
      </c>
      <c r="V419" s="160" t="s">
        <v>1057</v>
      </c>
    </row>
    <row r="420" spans="2:22" ht="11.25">
      <c r="B420" s="161">
        <v>2</v>
      </c>
      <c r="C420" s="161" t="s">
        <v>1057</v>
      </c>
      <c r="D420" s="161" t="s">
        <v>1057</v>
      </c>
      <c r="E420" s="161">
        <v>2</v>
      </c>
      <c r="F420" s="161">
        <v>2</v>
      </c>
      <c r="G420" s="161">
        <v>2</v>
      </c>
      <c r="H420" s="161">
        <v>2</v>
      </c>
      <c r="I420" s="161" t="s">
        <v>1057</v>
      </c>
      <c r="J420" s="161">
        <v>2</v>
      </c>
      <c r="K420" s="161">
        <v>2</v>
      </c>
      <c r="L420" s="160" t="s">
        <v>1182</v>
      </c>
      <c r="M420" s="160" t="s">
        <v>856</v>
      </c>
      <c r="N420" s="160" t="s">
        <v>811</v>
      </c>
      <c r="O420" s="160" t="s">
        <v>1064</v>
      </c>
      <c r="P420" s="160" t="s">
        <v>1059</v>
      </c>
      <c r="Q420" s="160" t="s">
        <v>799</v>
      </c>
      <c r="R420" s="162" t="s">
        <v>1152</v>
      </c>
      <c r="S420" s="160" t="str">
        <f>CONCATENATE(Data!E25," min.")</f>
        <v>1 min.</v>
      </c>
      <c r="T420" s="160" t="s">
        <v>1153</v>
      </c>
      <c r="U420" s="160" t="s">
        <v>1073</v>
      </c>
      <c r="V420" s="160" t="s">
        <v>1057</v>
      </c>
    </row>
    <row r="421" spans="2:22" ht="11.25">
      <c r="B421" s="161" t="s">
        <v>1057</v>
      </c>
      <c r="C421" s="161" t="s">
        <v>1057</v>
      </c>
      <c r="D421" s="161" t="s">
        <v>1057</v>
      </c>
      <c r="E421" s="161" t="s">
        <v>1057</v>
      </c>
      <c r="F421" s="161" t="s">
        <v>1057</v>
      </c>
      <c r="G421" s="161" t="s">
        <v>1057</v>
      </c>
      <c r="H421" s="161" t="s">
        <v>1057</v>
      </c>
      <c r="I421" s="161" t="s">
        <v>1057</v>
      </c>
      <c r="J421" s="161">
        <v>4</v>
      </c>
      <c r="K421" s="161">
        <v>4</v>
      </c>
      <c r="L421" s="160" t="s">
        <v>1057</v>
      </c>
      <c r="M421" s="160" t="s">
        <v>350</v>
      </c>
      <c r="N421" s="160" t="s">
        <v>811</v>
      </c>
      <c r="O421" s="160" t="s">
        <v>1091</v>
      </c>
      <c r="P421" s="160" t="s">
        <v>1108</v>
      </c>
      <c r="Q421" s="160" t="str">
        <f>CONCATENATE(25+(FLOOR(Data!E25/2,1)*5)," ft.")</f>
        <v>25 ft.</v>
      </c>
      <c r="R421" s="162" t="str">
        <f>CONCATENATE("Target: ",Data!E25," humanoid creatures within 30 ft. of each other")</f>
        <v>Target: 1 humanoid creatures within 30 ft. of each other</v>
      </c>
      <c r="S421" s="160" t="str">
        <f>CONCATENATE(Data!E25," min. [D]")</f>
        <v>1 min. [D]</v>
      </c>
      <c r="T421" s="160" t="s">
        <v>1090</v>
      </c>
      <c r="U421" s="160" t="s">
        <v>805</v>
      </c>
      <c r="V421" s="160" t="s">
        <v>1057</v>
      </c>
    </row>
    <row r="422" spans="2:22" ht="11.25">
      <c r="B422" s="161" t="s">
        <v>1057</v>
      </c>
      <c r="C422" s="161" t="s">
        <v>1057</v>
      </c>
      <c r="D422" s="161" t="s">
        <v>1057</v>
      </c>
      <c r="E422" s="161" t="s">
        <v>1057</v>
      </c>
      <c r="F422" s="161">
        <v>7</v>
      </c>
      <c r="G422" s="161" t="s">
        <v>1057</v>
      </c>
      <c r="H422" s="161" t="s">
        <v>1057</v>
      </c>
      <c r="I422" s="161" t="s">
        <v>1057</v>
      </c>
      <c r="J422" s="161">
        <v>9</v>
      </c>
      <c r="K422" s="161">
        <v>9</v>
      </c>
      <c r="L422" s="160" t="s">
        <v>1057</v>
      </c>
      <c r="M422" s="160" t="s">
        <v>351</v>
      </c>
      <c r="N422" s="160" t="s">
        <v>815</v>
      </c>
      <c r="O422" s="160" t="s">
        <v>1091</v>
      </c>
      <c r="P422" s="160" t="s">
        <v>1059</v>
      </c>
      <c r="Q422" s="160" t="s">
        <v>799</v>
      </c>
      <c r="R422" s="162" t="s">
        <v>1290</v>
      </c>
      <c r="S422" s="160" t="s">
        <v>107</v>
      </c>
      <c r="T422" s="160" t="s">
        <v>1061</v>
      </c>
      <c r="U422" s="160" t="s">
        <v>801</v>
      </c>
      <c r="V422" s="160" t="s">
        <v>1057</v>
      </c>
    </row>
    <row r="423" spans="2:22" ht="11.25">
      <c r="B423" s="161" t="s">
        <v>1057</v>
      </c>
      <c r="C423" s="161" t="s">
        <v>1057</v>
      </c>
      <c r="D423" s="161" t="s">
        <v>1057</v>
      </c>
      <c r="E423" s="161" t="s">
        <v>1057</v>
      </c>
      <c r="F423" s="161">
        <v>7</v>
      </c>
      <c r="G423" s="161">
        <v>9</v>
      </c>
      <c r="H423" s="161" t="s">
        <v>1057</v>
      </c>
      <c r="I423" s="161" t="s">
        <v>1057</v>
      </c>
      <c r="J423" s="161" t="s">
        <v>1057</v>
      </c>
      <c r="K423" s="161" t="s">
        <v>1057</v>
      </c>
      <c r="L423" s="160" t="s">
        <v>353</v>
      </c>
      <c r="M423" s="160" t="s">
        <v>352</v>
      </c>
      <c r="N423" s="160" t="s">
        <v>815</v>
      </c>
      <c r="O423" s="160" t="s">
        <v>1071</v>
      </c>
      <c r="P423" s="160" t="s">
        <v>354</v>
      </c>
      <c r="Q423" s="160" t="s">
        <v>799</v>
      </c>
      <c r="R423" s="162" t="s">
        <v>1072</v>
      </c>
      <c r="S423" s="160" t="s">
        <v>1069</v>
      </c>
      <c r="T423" s="160" t="s">
        <v>1300</v>
      </c>
      <c r="U423" s="160" t="s">
        <v>1073</v>
      </c>
      <c r="V423" s="160" t="s">
        <v>1057</v>
      </c>
    </row>
    <row r="424" spans="2:22" ht="11.25">
      <c r="B424" s="161" t="s">
        <v>1057</v>
      </c>
      <c r="C424" s="161" t="s">
        <v>1057</v>
      </c>
      <c r="D424" s="161" t="s">
        <v>1057</v>
      </c>
      <c r="E424" s="161" t="s">
        <v>1057</v>
      </c>
      <c r="F424" s="161" t="s">
        <v>1057</v>
      </c>
      <c r="G424" s="161">
        <v>4</v>
      </c>
      <c r="H424" s="161" t="s">
        <v>1057</v>
      </c>
      <c r="I424" s="161" t="s">
        <v>1057</v>
      </c>
      <c r="J424" s="161" t="s">
        <v>1057</v>
      </c>
      <c r="K424" s="161" t="s">
        <v>1057</v>
      </c>
      <c r="L424" s="160" t="s">
        <v>1057</v>
      </c>
      <c r="M424" s="160" t="s">
        <v>355</v>
      </c>
      <c r="N424" s="160" t="s">
        <v>811</v>
      </c>
      <c r="O424" s="160" t="s">
        <v>1251</v>
      </c>
      <c r="P424" s="160" t="s">
        <v>1118</v>
      </c>
      <c r="Q424" s="160" t="s">
        <v>799</v>
      </c>
      <c r="R424" s="162" t="s">
        <v>343</v>
      </c>
      <c r="S424" s="160" t="s">
        <v>1069</v>
      </c>
      <c r="T424" s="160" t="s">
        <v>1087</v>
      </c>
      <c r="U424" s="160" t="s">
        <v>1073</v>
      </c>
      <c r="V424" s="160" t="s">
        <v>1057</v>
      </c>
    </row>
    <row r="425" spans="2:22" ht="11.25">
      <c r="B425" s="161" t="s">
        <v>1057</v>
      </c>
      <c r="C425" s="161" t="s">
        <v>1057</v>
      </c>
      <c r="D425" s="161" t="s">
        <v>1057</v>
      </c>
      <c r="E425" s="161" t="s">
        <v>1057</v>
      </c>
      <c r="F425" s="161">
        <v>3</v>
      </c>
      <c r="G425" s="161" t="s">
        <v>1057</v>
      </c>
      <c r="H425" s="161">
        <v>3</v>
      </c>
      <c r="I425" s="161" t="s">
        <v>1057</v>
      </c>
      <c r="J425" s="161" t="s">
        <v>1057</v>
      </c>
      <c r="K425" s="161" t="s">
        <v>1057</v>
      </c>
      <c r="L425" s="160" t="s">
        <v>1057</v>
      </c>
      <c r="M425" s="160" t="s">
        <v>902</v>
      </c>
      <c r="N425" s="160" t="s">
        <v>815</v>
      </c>
      <c r="O425" s="160" t="s">
        <v>1067</v>
      </c>
      <c r="P425" s="160" t="s">
        <v>1059</v>
      </c>
      <c r="Q425" s="160" t="s">
        <v>799</v>
      </c>
      <c r="R425" s="162" t="s">
        <v>1152</v>
      </c>
      <c r="S425" s="160" t="s">
        <v>1069</v>
      </c>
      <c r="T425" s="160" t="s">
        <v>1300</v>
      </c>
      <c r="U425" s="160" t="s">
        <v>1073</v>
      </c>
      <c r="V425" s="160" t="s">
        <v>1057</v>
      </c>
    </row>
    <row r="426" spans="2:22" ht="11.25">
      <c r="B426" s="161">
        <v>3</v>
      </c>
      <c r="C426" s="161" t="s">
        <v>1057</v>
      </c>
      <c r="D426" s="161">
        <v>3</v>
      </c>
      <c r="E426" s="161" t="s">
        <v>1057</v>
      </c>
      <c r="F426" s="161">
        <v>3</v>
      </c>
      <c r="G426" s="161" t="s">
        <v>1057</v>
      </c>
      <c r="H426" s="161">
        <v>3</v>
      </c>
      <c r="I426" s="161" t="s">
        <v>1057</v>
      </c>
      <c r="J426" s="161">
        <v>4</v>
      </c>
      <c r="K426" s="161">
        <v>4</v>
      </c>
      <c r="L426" s="160" t="s">
        <v>1057</v>
      </c>
      <c r="M426" s="160" t="s">
        <v>903</v>
      </c>
      <c r="N426" s="160" t="s">
        <v>845</v>
      </c>
      <c r="O426" s="160" t="s">
        <v>1067</v>
      </c>
      <c r="P426" s="160" t="s">
        <v>1059</v>
      </c>
      <c r="Q426" s="160" t="s">
        <v>799</v>
      </c>
      <c r="R426" s="162" t="s">
        <v>356</v>
      </c>
      <c r="S426" s="160" t="s">
        <v>1069</v>
      </c>
      <c r="T426" s="160" t="s">
        <v>1153</v>
      </c>
      <c r="U426" s="160" t="s">
        <v>1073</v>
      </c>
      <c r="V426" s="160" t="s">
        <v>1057</v>
      </c>
    </row>
    <row r="427" spans="2:22" ht="11.25">
      <c r="B427" s="161">
        <v>3</v>
      </c>
      <c r="C427" s="161" t="s">
        <v>1057</v>
      </c>
      <c r="D427" s="161" t="s">
        <v>1057</v>
      </c>
      <c r="E427" s="161" t="s">
        <v>1057</v>
      </c>
      <c r="F427" s="161">
        <v>3</v>
      </c>
      <c r="G427" s="161">
        <v>3</v>
      </c>
      <c r="H427" s="161" t="s">
        <v>1057</v>
      </c>
      <c r="I427" s="161">
        <v>3</v>
      </c>
      <c r="J427" s="161" t="s">
        <v>1057</v>
      </c>
      <c r="K427" s="161" t="s">
        <v>1057</v>
      </c>
      <c r="L427" s="160" t="s">
        <v>1057</v>
      </c>
      <c r="M427" s="160" t="s">
        <v>904</v>
      </c>
      <c r="N427" s="160" t="s">
        <v>815</v>
      </c>
      <c r="O427" s="160" t="s">
        <v>1067</v>
      </c>
      <c r="P427" s="160" t="s">
        <v>1059</v>
      </c>
      <c r="Q427" s="160" t="s">
        <v>799</v>
      </c>
      <c r="R427" s="162" t="s">
        <v>1152</v>
      </c>
      <c r="S427" s="160" t="s">
        <v>1069</v>
      </c>
      <c r="T427" s="160" t="s">
        <v>1300</v>
      </c>
      <c r="U427" s="160" t="s">
        <v>1073</v>
      </c>
      <c r="V427" s="160" t="s">
        <v>1057</v>
      </c>
    </row>
    <row r="428" spans="2:22" ht="11.25">
      <c r="B428" s="161" t="s">
        <v>1057</v>
      </c>
      <c r="C428" s="161" t="s">
        <v>1057</v>
      </c>
      <c r="D428" s="161" t="s">
        <v>1057</v>
      </c>
      <c r="E428" s="161" t="s">
        <v>1057</v>
      </c>
      <c r="F428" s="161">
        <v>2</v>
      </c>
      <c r="G428" s="161" t="s">
        <v>1057</v>
      </c>
      <c r="H428" s="161" t="s">
        <v>1057</v>
      </c>
      <c r="I428" s="161" t="s">
        <v>1057</v>
      </c>
      <c r="J428" s="161" t="s">
        <v>1057</v>
      </c>
      <c r="K428" s="161" t="s">
        <v>1057</v>
      </c>
      <c r="L428" s="160" t="s">
        <v>1057</v>
      </c>
      <c r="M428" s="160" t="s">
        <v>865</v>
      </c>
      <c r="N428" s="160" t="s">
        <v>822</v>
      </c>
      <c r="O428" s="160" t="s">
        <v>1067</v>
      </c>
      <c r="P428" s="160" t="s">
        <v>1059</v>
      </c>
      <c r="Q428" s="160" t="s">
        <v>817</v>
      </c>
      <c r="R428" s="162" t="s">
        <v>1084</v>
      </c>
      <c r="S428" s="160" t="str">
        <f>CONCATENATE(Data!E25," min.")</f>
        <v>1 min.</v>
      </c>
      <c r="T428" s="160" t="s">
        <v>1061</v>
      </c>
      <c r="U428" s="160" t="s">
        <v>801</v>
      </c>
      <c r="V428" s="160" t="s">
        <v>1057</v>
      </c>
    </row>
    <row r="429" spans="2:22" ht="11.25">
      <c r="B429" s="161" t="s">
        <v>1057</v>
      </c>
      <c r="C429" s="161" t="s">
        <v>1057</v>
      </c>
      <c r="D429" s="161" t="s">
        <v>1057</v>
      </c>
      <c r="E429" s="161" t="s">
        <v>1057</v>
      </c>
      <c r="F429" s="161">
        <v>2</v>
      </c>
      <c r="G429" s="161" t="s">
        <v>1057</v>
      </c>
      <c r="H429" s="161" t="s">
        <v>1057</v>
      </c>
      <c r="I429" s="161" t="s">
        <v>1057</v>
      </c>
      <c r="J429" s="161">
        <v>3</v>
      </c>
      <c r="K429" s="161">
        <v>3</v>
      </c>
      <c r="L429" s="160" t="s">
        <v>1057</v>
      </c>
      <c r="M429" s="160" t="s">
        <v>866</v>
      </c>
      <c r="N429" s="160" t="s">
        <v>826</v>
      </c>
      <c r="O429" s="160" t="s">
        <v>1064</v>
      </c>
      <c r="P429" s="160" t="s">
        <v>1059</v>
      </c>
      <c r="Q429" s="160" t="s">
        <v>799</v>
      </c>
      <c r="R429" s="162" t="s">
        <v>1460</v>
      </c>
      <c r="S429" s="160" t="str">
        <f>CONCATENATE(Data!E25," days")</f>
        <v>1 days</v>
      </c>
      <c r="T429" s="160" t="s">
        <v>1169</v>
      </c>
      <c r="U429" s="160" t="s">
        <v>1170</v>
      </c>
      <c r="V429" s="160" t="s">
        <v>1057</v>
      </c>
    </row>
    <row r="430" spans="2:22" ht="11.25">
      <c r="B430" s="161" t="s">
        <v>1057</v>
      </c>
      <c r="C430" s="161" t="s">
        <v>1057</v>
      </c>
      <c r="D430" s="161" t="s">
        <v>1057</v>
      </c>
      <c r="E430" s="161" t="s">
        <v>1057</v>
      </c>
      <c r="F430" s="161" t="s">
        <v>1057</v>
      </c>
      <c r="G430" s="161">
        <v>8</v>
      </c>
      <c r="H430" s="161" t="s">
        <v>1057</v>
      </c>
      <c r="I430" s="161" t="s">
        <v>1057</v>
      </c>
      <c r="J430" s="161" t="s">
        <v>1057</v>
      </c>
      <c r="K430" s="161" t="s">
        <v>1057</v>
      </c>
      <c r="L430" s="160" t="s">
        <v>1057</v>
      </c>
      <c r="M430" s="160" t="s">
        <v>358</v>
      </c>
      <c r="N430" s="160" t="s">
        <v>845</v>
      </c>
      <c r="O430" s="160" t="s">
        <v>1067</v>
      </c>
      <c r="P430" s="160" t="s">
        <v>1059</v>
      </c>
      <c r="Q430" s="160" t="s">
        <v>1246</v>
      </c>
      <c r="R430" s="162" t="s">
        <v>359</v>
      </c>
      <c r="S430" s="160" t="str">
        <f>CONCATENATE(Data!E25," rnds [D]")</f>
        <v>1 rnds [D]</v>
      </c>
      <c r="T430" s="160" t="s">
        <v>1061</v>
      </c>
      <c r="U430" s="160" t="s">
        <v>801</v>
      </c>
      <c r="V430" s="160" t="s">
        <v>1057</v>
      </c>
    </row>
    <row r="431" spans="2:22" ht="11.25">
      <c r="B431" s="161" t="s">
        <v>1057</v>
      </c>
      <c r="C431" s="161" t="s">
        <v>1057</v>
      </c>
      <c r="D431" s="161">
        <v>4</v>
      </c>
      <c r="E431" s="161" t="s">
        <v>1057</v>
      </c>
      <c r="F431" s="161">
        <v>4</v>
      </c>
      <c r="G431" s="161">
        <v>4</v>
      </c>
      <c r="H431" s="161" t="s">
        <v>1057</v>
      </c>
      <c r="I431" s="161">
        <v>3</v>
      </c>
      <c r="J431" s="161" t="s">
        <v>1057</v>
      </c>
      <c r="K431" s="161" t="s">
        <v>1057</v>
      </c>
      <c r="L431" s="160" t="s">
        <v>1057</v>
      </c>
      <c r="M431" s="160" t="s">
        <v>927</v>
      </c>
      <c r="N431" s="160" t="s">
        <v>845</v>
      </c>
      <c r="O431" s="160" t="s">
        <v>1071</v>
      </c>
      <c r="P431" s="160" t="s">
        <v>1059</v>
      </c>
      <c r="Q431" s="160" t="s">
        <v>1109</v>
      </c>
      <c r="R431" s="162" t="s">
        <v>360</v>
      </c>
      <c r="S431" s="160" t="str">
        <f>CONCATENATE(Data!E25*10," min. [D]")</f>
        <v>10 min. [D]</v>
      </c>
      <c r="T431" s="160" t="s">
        <v>1087</v>
      </c>
      <c r="U431" s="160" t="s">
        <v>805</v>
      </c>
      <c r="V431" s="160" t="s">
        <v>1057</v>
      </c>
    </row>
    <row r="432" spans="2:22" ht="11.25">
      <c r="B432" s="161" t="s">
        <v>1057</v>
      </c>
      <c r="C432" s="161" t="s">
        <v>1057</v>
      </c>
      <c r="D432" s="161" t="s">
        <v>1057</v>
      </c>
      <c r="E432" s="161" t="s">
        <v>1057</v>
      </c>
      <c r="F432" s="161" t="s">
        <v>1057</v>
      </c>
      <c r="G432" s="161">
        <v>6</v>
      </c>
      <c r="H432" s="161" t="s">
        <v>1057</v>
      </c>
      <c r="I432" s="161" t="s">
        <v>1057</v>
      </c>
      <c r="J432" s="161" t="s">
        <v>1057</v>
      </c>
      <c r="K432" s="161" t="s">
        <v>1057</v>
      </c>
      <c r="L432" s="160" t="s">
        <v>362</v>
      </c>
      <c r="M432" s="160" t="s">
        <v>361</v>
      </c>
      <c r="N432" s="160" t="s">
        <v>811</v>
      </c>
      <c r="O432" s="160" t="s">
        <v>1067</v>
      </c>
      <c r="P432" s="160" t="s">
        <v>1059</v>
      </c>
      <c r="Q432" s="160" t="s">
        <v>1246</v>
      </c>
      <c r="R432" s="162" t="s">
        <v>363</v>
      </c>
      <c r="S432" s="160" t="str">
        <f>CONCATENATE(Data!E25," min. [D]")</f>
        <v>1 min. [D]</v>
      </c>
      <c r="T432" s="160" t="s">
        <v>1061</v>
      </c>
      <c r="U432" s="160" t="s">
        <v>801</v>
      </c>
      <c r="V432" s="160" t="s">
        <v>1057</v>
      </c>
    </row>
    <row r="433" spans="2:22" ht="11.25">
      <c r="B433" s="161" t="s">
        <v>1057</v>
      </c>
      <c r="C433" s="161" t="s">
        <v>1057</v>
      </c>
      <c r="D433" s="161" t="s">
        <v>1057</v>
      </c>
      <c r="E433" s="161" t="s">
        <v>1057</v>
      </c>
      <c r="F433" s="161">
        <v>7</v>
      </c>
      <c r="G433" s="161" t="s">
        <v>1057</v>
      </c>
      <c r="H433" s="161" t="s">
        <v>1057</v>
      </c>
      <c r="I433" s="161" t="s">
        <v>1057</v>
      </c>
      <c r="J433" s="161">
        <v>6</v>
      </c>
      <c r="K433" s="161">
        <v>6</v>
      </c>
      <c r="L433" s="160" t="s">
        <v>365</v>
      </c>
      <c r="M433" s="160" t="s">
        <v>364</v>
      </c>
      <c r="N433" s="160" t="s">
        <v>845</v>
      </c>
      <c r="O433" s="160" t="s">
        <v>1077</v>
      </c>
      <c r="P433" s="160" t="s">
        <v>1059</v>
      </c>
      <c r="Q433" s="160" t="str">
        <f>CONCATENATE("Up to ",Data!E25*10," ft.")</f>
        <v>Up to 10 ft.</v>
      </c>
      <c r="R433" s="162" t="str">
        <f>CONCATENATE("Area: ",Data!E25*10," ft. radius emanation centered on you")</f>
        <v>Area: 10 ft. radius emanation centered on you</v>
      </c>
      <c r="S433" s="160" t="str">
        <f>CONCATENATE(Data!E25," rnds [D]")</f>
        <v>1 rnds [D]</v>
      </c>
      <c r="T433" s="160" t="s">
        <v>1141</v>
      </c>
      <c r="U433" s="160" t="s">
        <v>805</v>
      </c>
      <c r="V433" s="160" t="s">
        <v>1136</v>
      </c>
    </row>
    <row r="434" spans="2:22" ht="11.25">
      <c r="B434" s="161" t="s">
        <v>1057</v>
      </c>
      <c r="C434" s="161" t="s">
        <v>1057</v>
      </c>
      <c r="D434" s="161" t="s">
        <v>1057</v>
      </c>
      <c r="E434" s="161" t="s">
        <v>1057</v>
      </c>
      <c r="F434" s="161" t="s">
        <v>1057</v>
      </c>
      <c r="G434" s="161" t="s">
        <v>1057</v>
      </c>
      <c r="H434" s="161" t="s">
        <v>1057</v>
      </c>
      <c r="I434" s="161" t="s">
        <v>1057</v>
      </c>
      <c r="J434" s="161">
        <v>4</v>
      </c>
      <c r="K434" s="161">
        <v>4</v>
      </c>
      <c r="L434" s="160" t="s">
        <v>1057</v>
      </c>
      <c r="M434" s="160" t="s">
        <v>366</v>
      </c>
      <c r="N434" s="160" t="s">
        <v>1162</v>
      </c>
      <c r="O434" s="160" t="s">
        <v>1091</v>
      </c>
      <c r="P434" s="160" t="s">
        <v>1059</v>
      </c>
      <c r="Q434" s="160" t="str">
        <f>CONCATENATE(25+(FLOOR(Data!E25/2,1)*5)," ft.")</f>
        <v>25 ft.</v>
      </c>
      <c r="R434" s="162" t="str">
        <f>CONCATENATE("Effect: ",Data!E25," ft. diameter sphere, centered around a creature")</f>
        <v>Effect: 1 ft. diameter sphere, centered around a creature</v>
      </c>
      <c r="S434" s="160" t="str">
        <f>CONCATENATE(Data!E25," min. [D]")</f>
        <v>1 min. [D]</v>
      </c>
      <c r="T434" s="160" t="s">
        <v>1429</v>
      </c>
      <c r="U434" s="160" t="s">
        <v>805</v>
      </c>
      <c r="V434" s="160" t="s">
        <v>1057</v>
      </c>
    </row>
    <row r="435" spans="2:22" ht="11.25">
      <c r="B435" s="161" t="s">
        <v>1057</v>
      </c>
      <c r="C435" s="161" t="s">
        <v>1057</v>
      </c>
      <c r="D435" s="161">
        <v>2</v>
      </c>
      <c r="E435" s="161" t="s">
        <v>1057</v>
      </c>
      <c r="F435" s="161">
        <v>2</v>
      </c>
      <c r="G435" s="161" t="s">
        <v>1057</v>
      </c>
      <c r="H435" s="161" t="s">
        <v>1057</v>
      </c>
      <c r="I435" s="161" t="s">
        <v>1057</v>
      </c>
      <c r="J435" s="161">
        <v>3</v>
      </c>
      <c r="K435" s="161">
        <v>3</v>
      </c>
      <c r="L435" s="160" t="s">
        <v>1057</v>
      </c>
      <c r="M435" s="160" t="s">
        <v>867</v>
      </c>
      <c r="N435" s="160" t="s">
        <v>804</v>
      </c>
      <c r="O435" s="160" t="s">
        <v>1077</v>
      </c>
      <c r="P435" s="160" t="s">
        <v>1059</v>
      </c>
      <c r="Q435" s="160" t="str">
        <f>CONCATENATE(100+(10*Data!E25)," ft.")</f>
        <v>110 ft.</v>
      </c>
      <c r="R435" s="162" t="s">
        <v>1214</v>
      </c>
      <c r="S435" s="160" t="s">
        <v>1087</v>
      </c>
      <c r="T435" s="160" t="s">
        <v>1087</v>
      </c>
      <c r="U435" s="160" t="s">
        <v>805</v>
      </c>
      <c r="V435" s="160" t="s">
        <v>1057</v>
      </c>
    </row>
    <row r="436" spans="2:22" ht="11.25">
      <c r="B436" s="161" t="s">
        <v>1057</v>
      </c>
      <c r="C436" s="161" t="s">
        <v>1057</v>
      </c>
      <c r="D436" s="161" t="s">
        <v>1057</v>
      </c>
      <c r="E436" s="161">
        <v>2</v>
      </c>
      <c r="F436" s="161">
        <v>2</v>
      </c>
      <c r="G436" s="161" t="s">
        <v>1057</v>
      </c>
      <c r="H436" s="161" t="s">
        <v>1057</v>
      </c>
      <c r="I436" s="161" t="s">
        <v>1057</v>
      </c>
      <c r="J436" s="161" t="s">
        <v>1057</v>
      </c>
      <c r="K436" s="161" t="s">
        <v>1057</v>
      </c>
      <c r="L436" s="160" t="s">
        <v>1057</v>
      </c>
      <c r="M436" s="160" t="s">
        <v>868</v>
      </c>
      <c r="N436" s="160" t="s">
        <v>826</v>
      </c>
      <c r="O436" s="160" t="s">
        <v>1067</v>
      </c>
      <c r="P436" s="160" t="s">
        <v>1059</v>
      </c>
      <c r="Q436" s="160" t="s">
        <v>799</v>
      </c>
      <c r="R436" s="162" t="s">
        <v>1152</v>
      </c>
      <c r="S436" s="160" t="s">
        <v>1069</v>
      </c>
      <c r="T436" s="160" t="s">
        <v>95</v>
      </c>
      <c r="U436" s="160" t="s">
        <v>805</v>
      </c>
      <c r="V436" s="160" t="s">
        <v>1057</v>
      </c>
    </row>
    <row r="437" spans="2:22" ht="11.25">
      <c r="B437" s="161">
        <v>4</v>
      </c>
      <c r="C437" s="161" t="s">
        <v>1057</v>
      </c>
      <c r="D437" s="161" t="s">
        <v>1057</v>
      </c>
      <c r="E437" s="161" t="s">
        <v>1057</v>
      </c>
      <c r="F437" s="161">
        <v>4</v>
      </c>
      <c r="G437" s="161" t="s">
        <v>1057</v>
      </c>
      <c r="H437" s="161">
        <v>4</v>
      </c>
      <c r="I437" s="161" t="s">
        <v>1057</v>
      </c>
      <c r="J437" s="161" t="s">
        <v>1057</v>
      </c>
      <c r="K437" s="161" t="s">
        <v>1057</v>
      </c>
      <c r="L437" s="160" t="s">
        <v>1057</v>
      </c>
      <c r="M437" s="160" t="s">
        <v>928</v>
      </c>
      <c r="N437" s="160" t="s">
        <v>815</v>
      </c>
      <c r="O437" s="160" t="s">
        <v>1091</v>
      </c>
      <c r="P437" s="160" t="s">
        <v>1407</v>
      </c>
      <c r="Q437" s="160" t="s">
        <v>799</v>
      </c>
      <c r="R437" s="162" t="s">
        <v>1152</v>
      </c>
      <c r="S437" s="160" t="s">
        <v>1069</v>
      </c>
      <c r="T437" s="160" t="s">
        <v>1153</v>
      </c>
      <c r="U437" s="160" t="s">
        <v>1073</v>
      </c>
      <c r="V437" s="160" t="s">
        <v>80</v>
      </c>
    </row>
    <row r="438" spans="2:22" ht="11.25">
      <c r="B438" s="161" t="s">
        <v>1057</v>
      </c>
      <c r="C438" s="161" t="s">
        <v>1057</v>
      </c>
      <c r="D438" s="161" t="s">
        <v>1057</v>
      </c>
      <c r="E438" s="161" t="s">
        <v>1057</v>
      </c>
      <c r="F438" s="161">
        <v>7</v>
      </c>
      <c r="G438" s="161" t="s">
        <v>1057</v>
      </c>
      <c r="H438" s="161" t="s">
        <v>1057</v>
      </c>
      <c r="I438" s="161" t="s">
        <v>1057</v>
      </c>
      <c r="J438" s="161" t="s">
        <v>1057</v>
      </c>
      <c r="K438" s="161" t="s">
        <v>1057</v>
      </c>
      <c r="L438" s="160" t="s">
        <v>1057</v>
      </c>
      <c r="M438" s="160" t="s">
        <v>369</v>
      </c>
      <c r="N438" s="160" t="s">
        <v>815</v>
      </c>
      <c r="O438" s="160" t="s">
        <v>134</v>
      </c>
      <c r="P438" s="160" t="s">
        <v>1118</v>
      </c>
      <c r="Q438" s="160" t="s">
        <v>799</v>
      </c>
      <c r="R438" s="162" t="s">
        <v>1152</v>
      </c>
      <c r="S438" s="160" t="s">
        <v>1069</v>
      </c>
      <c r="T438" s="160" t="s">
        <v>1153</v>
      </c>
      <c r="U438" s="160" t="s">
        <v>1073</v>
      </c>
      <c r="V438" s="160" t="s">
        <v>276</v>
      </c>
    </row>
    <row r="439" spans="2:22" ht="11.25">
      <c r="B439" s="161" t="s">
        <v>1057</v>
      </c>
      <c r="C439" s="161" t="s">
        <v>1057</v>
      </c>
      <c r="D439" s="161" t="s">
        <v>1057</v>
      </c>
      <c r="E439" s="161" t="s">
        <v>1057</v>
      </c>
      <c r="F439" s="161">
        <v>2</v>
      </c>
      <c r="G439" s="161" t="s">
        <v>1057</v>
      </c>
      <c r="H439" s="161" t="s">
        <v>1057</v>
      </c>
      <c r="I439" s="161" t="s">
        <v>1057</v>
      </c>
      <c r="J439" s="161" t="s">
        <v>1057</v>
      </c>
      <c r="K439" s="161" t="s">
        <v>1057</v>
      </c>
      <c r="L439" s="160" t="s">
        <v>1057</v>
      </c>
      <c r="M439" s="160" t="s">
        <v>869</v>
      </c>
      <c r="N439" s="160" t="s">
        <v>811</v>
      </c>
      <c r="O439" s="160" t="s">
        <v>1067</v>
      </c>
      <c r="P439" s="160" t="s">
        <v>1059</v>
      </c>
      <c r="Q439" s="160" t="str">
        <f>CONCATENATE(25+(FLOOR(Data!E25/2,1)*5)," ft.")</f>
        <v>25 ft.</v>
      </c>
      <c r="R439" s="162" t="str">
        <f>CONCATENATE("Target: One object of up to ",Data!E25*10," cu. ft")</f>
        <v>Target: One object of up to 10 cu. ft</v>
      </c>
      <c r="S439" s="160" t="s">
        <v>1069</v>
      </c>
      <c r="T439" s="160" t="s">
        <v>1081</v>
      </c>
      <c r="U439" s="160" t="s">
        <v>1082</v>
      </c>
      <c r="V439" s="160" t="s">
        <v>1057</v>
      </c>
    </row>
    <row r="440" spans="2:22" ht="11.25">
      <c r="B440" s="161" t="s">
        <v>1057</v>
      </c>
      <c r="C440" s="161" t="s">
        <v>1057</v>
      </c>
      <c r="D440" s="161" t="s">
        <v>1057</v>
      </c>
      <c r="E440" s="161" t="s">
        <v>1057</v>
      </c>
      <c r="F440" s="161">
        <v>7</v>
      </c>
      <c r="G440" s="161" t="s">
        <v>1057</v>
      </c>
      <c r="H440" s="161" t="s">
        <v>1057</v>
      </c>
      <c r="I440" s="161" t="s">
        <v>1057</v>
      </c>
      <c r="J440" s="161" t="s">
        <v>1057</v>
      </c>
      <c r="K440" s="161" t="s">
        <v>1057</v>
      </c>
      <c r="L440" s="160" t="s">
        <v>1057</v>
      </c>
      <c r="M440" s="160" t="s">
        <v>371</v>
      </c>
      <c r="N440" s="160" t="s">
        <v>815</v>
      </c>
      <c r="O440" s="160" t="s">
        <v>1251</v>
      </c>
      <c r="P440" s="160" t="s">
        <v>1118</v>
      </c>
      <c r="Q440" s="160" t="s">
        <v>799</v>
      </c>
      <c r="R440" s="162" t="s">
        <v>343</v>
      </c>
      <c r="S440" s="160" t="s">
        <v>1069</v>
      </c>
      <c r="T440" s="160" t="s">
        <v>1087</v>
      </c>
      <c r="U440" s="160" t="s">
        <v>1073</v>
      </c>
      <c r="V440" s="160" t="s">
        <v>372</v>
      </c>
    </row>
    <row r="441" spans="2:22" ht="11.25">
      <c r="B441" s="161" t="s">
        <v>1057</v>
      </c>
      <c r="C441" s="161" t="s">
        <v>1057</v>
      </c>
      <c r="D441" s="161" t="s">
        <v>1057</v>
      </c>
      <c r="E441" s="161" t="s">
        <v>1057</v>
      </c>
      <c r="F441" s="161" t="s">
        <v>1057</v>
      </c>
      <c r="G441" s="161">
        <v>8</v>
      </c>
      <c r="H441" s="161" t="s">
        <v>1057</v>
      </c>
      <c r="I441" s="161" t="s">
        <v>1057</v>
      </c>
      <c r="J441" s="161">
        <v>7</v>
      </c>
      <c r="K441" s="161">
        <v>7</v>
      </c>
      <c r="L441" s="160" t="s">
        <v>1057</v>
      </c>
      <c r="M441" s="160" t="s">
        <v>373</v>
      </c>
      <c r="N441" s="160" t="s">
        <v>811</v>
      </c>
      <c r="O441" s="160" t="s">
        <v>1064</v>
      </c>
      <c r="P441" s="160" t="s">
        <v>1059</v>
      </c>
      <c r="Q441" s="160" t="str">
        <f>CONCATENATE(100+(10*Data!E25)," ft.")</f>
        <v>110 ft.</v>
      </c>
      <c r="R441" s="162" t="str">
        <f>CONCATENATE("Area: Up to ",FLOOR(Data!E25/2,1)," 10-ft. cube (S)")</f>
        <v>Area: Up to 0 10-ft. cube (S)</v>
      </c>
      <c r="S441" s="160" t="str">
        <f>CONCATENATE(Data!E25," rnds [D]")</f>
        <v>1 rnds [D]</v>
      </c>
      <c r="T441" s="160" t="s">
        <v>1087</v>
      </c>
      <c r="U441" s="160" t="s">
        <v>801</v>
      </c>
      <c r="V441" s="160" t="s">
        <v>1057</v>
      </c>
    </row>
    <row r="442" spans="2:22" ht="11.25">
      <c r="B442" s="161" t="s">
        <v>1057</v>
      </c>
      <c r="C442" s="161" t="s">
        <v>1057</v>
      </c>
      <c r="D442" s="161" t="s">
        <v>1057</v>
      </c>
      <c r="E442" s="161" t="s">
        <v>1057</v>
      </c>
      <c r="F442" s="161">
        <v>5</v>
      </c>
      <c r="G442" s="161" t="s">
        <v>1057</v>
      </c>
      <c r="H442" s="161" t="s">
        <v>1057</v>
      </c>
      <c r="I442" s="161" t="s">
        <v>1057</v>
      </c>
      <c r="J442" s="161" t="s">
        <v>1057</v>
      </c>
      <c r="K442" s="161" t="s">
        <v>1057</v>
      </c>
      <c r="L442" s="160" t="s">
        <v>375</v>
      </c>
      <c r="M442" s="160" t="s">
        <v>374</v>
      </c>
      <c r="N442" s="160" t="s">
        <v>811</v>
      </c>
      <c r="O442" s="160" t="s">
        <v>1071</v>
      </c>
      <c r="P442" s="160" t="s">
        <v>1059</v>
      </c>
      <c r="Q442" s="160" t="s">
        <v>817</v>
      </c>
      <c r="R442" s="162" t="s">
        <v>1084</v>
      </c>
      <c r="S442" s="160" t="str">
        <f>CONCATENATE(Data!E25," rnds [D]")</f>
        <v>1 rnds [D]</v>
      </c>
      <c r="T442" s="160" t="s">
        <v>1061</v>
      </c>
      <c r="U442" s="160" t="s">
        <v>801</v>
      </c>
      <c r="V442" s="160" t="s">
        <v>1057</v>
      </c>
    </row>
    <row r="443" spans="2:22" ht="11.25">
      <c r="B443" s="161" t="s">
        <v>1057</v>
      </c>
      <c r="C443" s="161" t="s">
        <v>1057</v>
      </c>
      <c r="D443" s="161">
        <v>2</v>
      </c>
      <c r="E443" s="161" t="s">
        <v>1057</v>
      </c>
      <c r="F443" s="161" t="s">
        <v>1057</v>
      </c>
      <c r="G443" s="161" t="s">
        <v>1057</v>
      </c>
      <c r="H443" s="161" t="s">
        <v>1057</v>
      </c>
      <c r="I443" s="161" t="s">
        <v>1057</v>
      </c>
      <c r="J443" s="161">
        <v>2</v>
      </c>
      <c r="K443" s="161">
        <v>2</v>
      </c>
      <c r="L443" s="160" t="s">
        <v>1057</v>
      </c>
      <c r="M443" s="160" t="s">
        <v>192</v>
      </c>
      <c r="N443" s="160" t="s">
        <v>1179</v>
      </c>
      <c r="O443" s="160" t="s">
        <v>1086</v>
      </c>
      <c r="P443" s="160" t="s">
        <v>1059</v>
      </c>
      <c r="Q443" s="160" t="str">
        <f>CONCATENATE(400+(40*Data!E25)," ft.")</f>
        <v>440 ft.</v>
      </c>
      <c r="R443" s="162" t="str">
        <f>CONCATENATE("Effect: Visual figment that cannot extend beyond ",Data!E25+4," 10-ft. cubes (S)")</f>
        <v>Effect: Visual figment that cannot extend beyond 5 10-ft. cubes (S)</v>
      </c>
      <c r="S443" s="160" t="s">
        <v>70</v>
      </c>
      <c r="T443" s="160" t="s">
        <v>1462</v>
      </c>
      <c r="U443" s="160" t="s">
        <v>801</v>
      </c>
      <c r="V443" s="160" t="s">
        <v>1057</v>
      </c>
    </row>
    <row r="444" spans="7:22" ht="11.25">
      <c r="G444" s="160">
        <v>4</v>
      </c>
      <c r="J444" s="160" t="s">
        <v>1057</v>
      </c>
      <c r="K444" s="161" t="s">
        <v>1057</v>
      </c>
      <c r="L444" s="160" t="s">
        <v>1057</v>
      </c>
      <c r="M444" s="160" t="s">
        <v>378</v>
      </c>
      <c r="N444" s="160" t="s">
        <v>811</v>
      </c>
      <c r="O444" s="160" t="s">
        <v>1071</v>
      </c>
      <c r="P444" s="160" t="s">
        <v>1059</v>
      </c>
      <c r="Q444" s="160" t="s">
        <v>799</v>
      </c>
      <c r="R444" s="162" t="s">
        <v>379</v>
      </c>
      <c r="S444" s="160" t="s">
        <v>1087</v>
      </c>
      <c r="T444" s="160" t="s">
        <v>1061</v>
      </c>
      <c r="U444" s="160" t="s">
        <v>801</v>
      </c>
      <c r="V444" s="160" t="s">
        <v>1057</v>
      </c>
    </row>
    <row r="445" spans="2:22" ht="11.25">
      <c r="B445" s="161">
        <v>2</v>
      </c>
      <c r="C445" s="161" t="s">
        <v>1057</v>
      </c>
      <c r="D445" s="161">
        <v>2</v>
      </c>
      <c r="E445" s="161" t="s">
        <v>1057</v>
      </c>
      <c r="F445" s="161" t="s">
        <v>1057</v>
      </c>
      <c r="G445" s="161" t="s">
        <v>1057</v>
      </c>
      <c r="H445" s="161" t="s">
        <v>1057</v>
      </c>
      <c r="I445" s="161" t="s">
        <v>1057</v>
      </c>
      <c r="J445" s="161">
        <v>2</v>
      </c>
      <c r="K445" s="161">
        <v>2</v>
      </c>
      <c r="L445" s="160" t="s">
        <v>1057</v>
      </c>
      <c r="M445" s="160" t="s">
        <v>196</v>
      </c>
      <c r="N445" s="160" t="s">
        <v>1179</v>
      </c>
      <c r="O445" s="160" t="s">
        <v>1067</v>
      </c>
      <c r="P445" s="160" t="s">
        <v>1059</v>
      </c>
      <c r="Q445" s="160" t="s">
        <v>1087</v>
      </c>
      <c r="R445" s="162" t="s">
        <v>1084</v>
      </c>
      <c r="S445" s="160" t="str">
        <f>CONCATENATE(Data!E25," min. [D]")</f>
        <v>1 min. [D]</v>
      </c>
      <c r="T445" s="160" t="s">
        <v>1061</v>
      </c>
      <c r="U445" s="160" t="s">
        <v>801</v>
      </c>
      <c r="V445" s="160" t="s">
        <v>1057</v>
      </c>
    </row>
    <row r="446" spans="2:22" ht="11.25">
      <c r="B446" s="161" t="s">
        <v>1057</v>
      </c>
      <c r="C446" s="161">
        <v>3</v>
      </c>
      <c r="D446" s="161">
        <v>2</v>
      </c>
      <c r="E446" s="161" t="s">
        <v>1057</v>
      </c>
      <c r="F446" s="161" t="s">
        <v>1057</v>
      </c>
      <c r="G446" s="161" t="s">
        <v>1057</v>
      </c>
      <c r="H446" s="161" t="s">
        <v>1057</v>
      </c>
      <c r="I446" s="161" t="s">
        <v>1057</v>
      </c>
      <c r="J446" s="161">
        <v>2</v>
      </c>
      <c r="K446" s="161">
        <v>2</v>
      </c>
      <c r="L446" s="160" t="s">
        <v>1057</v>
      </c>
      <c r="M446" s="160" t="s">
        <v>197</v>
      </c>
      <c r="N446" s="160" t="s">
        <v>1179</v>
      </c>
      <c r="O446" s="160" t="s">
        <v>1067</v>
      </c>
      <c r="P446" s="160" t="s">
        <v>1059</v>
      </c>
      <c r="Q446" s="160" t="str">
        <f>CONCATENATE(25+(FLOOR(Data!E25/2,1)*5)," ft.")</f>
        <v>25 ft.</v>
      </c>
      <c r="R446" s="162" t="s">
        <v>198</v>
      </c>
      <c r="S446" s="160" t="str">
        <f>CONCATENATE(Data!E25," hours")</f>
        <v>1 hours</v>
      </c>
      <c r="T446" s="160" t="s">
        <v>1087</v>
      </c>
      <c r="U446" s="160" t="s">
        <v>801</v>
      </c>
      <c r="V446" s="160" t="s">
        <v>1057</v>
      </c>
    </row>
    <row r="447" spans="2:22" ht="11.25">
      <c r="B447" s="161" t="s">
        <v>1057</v>
      </c>
      <c r="C447" s="161" t="s">
        <v>1057</v>
      </c>
      <c r="D447" s="161" t="s">
        <v>1057</v>
      </c>
      <c r="E447" s="161" t="s">
        <v>1057</v>
      </c>
      <c r="F447" s="161" t="s">
        <v>1057</v>
      </c>
      <c r="G447" s="161" t="s">
        <v>1057</v>
      </c>
      <c r="H447" s="161" t="s">
        <v>1057</v>
      </c>
      <c r="I447" s="161" t="s">
        <v>1057</v>
      </c>
      <c r="J447" s="161">
        <v>8</v>
      </c>
      <c r="K447" s="161">
        <v>8</v>
      </c>
      <c r="L447" s="160" t="s">
        <v>1057</v>
      </c>
      <c r="M447" s="160" t="s">
        <v>382</v>
      </c>
      <c r="N447" s="160" t="s">
        <v>1179</v>
      </c>
      <c r="O447" s="160" t="s">
        <v>1091</v>
      </c>
      <c r="P447" s="160" t="s">
        <v>1059</v>
      </c>
      <c r="Q447" s="160" t="str">
        <f>CONCATENATE(25+(FLOOR(Data!E25/2,1)*5)," ft.")</f>
        <v>25 ft.</v>
      </c>
      <c r="R447" s="162" t="s">
        <v>383</v>
      </c>
      <c r="S447" s="160" t="s">
        <v>70</v>
      </c>
      <c r="T447" s="160" t="s">
        <v>1061</v>
      </c>
      <c r="U447" s="160" t="s">
        <v>805</v>
      </c>
      <c r="V447" s="160" t="s">
        <v>1057</v>
      </c>
    </row>
    <row r="448" spans="2:22" ht="11.25">
      <c r="B448" s="161" t="s">
        <v>1057</v>
      </c>
      <c r="C448" s="161" t="s">
        <v>1057</v>
      </c>
      <c r="D448" s="161">
        <v>1</v>
      </c>
      <c r="E448" s="161" t="s">
        <v>1057</v>
      </c>
      <c r="F448" s="161" t="s">
        <v>1057</v>
      </c>
      <c r="G448" s="161" t="s">
        <v>1057</v>
      </c>
      <c r="H448" s="161" t="s">
        <v>1057</v>
      </c>
      <c r="I448" s="161" t="s">
        <v>1057</v>
      </c>
      <c r="J448" s="161">
        <v>2</v>
      </c>
      <c r="K448" s="161">
        <v>2</v>
      </c>
      <c r="L448" s="160" t="s">
        <v>1057</v>
      </c>
      <c r="M448" s="160" t="s">
        <v>900</v>
      </c>
      <c r="N448" s="160" t="s">
        <v>845</v>
      </c>
      <c r="O448" s="160" t="s">
        <v>1064</v>
      </c>
      <c r="P448" s="160" t="s">
        <v>1059</v>
      </c>
      <c r="Q448" s="160" t="s">
        <v>799</v>
      </c>
      <c r="R448" s="162" t="str">
        <f>CONCATENATE("Target: One object touched of up to ",Data!E25*100," lbs")</f>
        <v>Target: One object touched of up to 100 lbs</v>
      </c>
      <c r="S448" s="160" t="s">
        <v>251</v>
      </c>
      <c r="T448" s="160" t="s">
        <v>1169</v>
      </c>
      <c r="U448" s="160" t="s">
        <v>1217</v>
      </c>
      <c r="V448" s="160" t="s">
        <v>1057</v>
      </c>
    </row>
    <row r="449" spans="2:22" ht="11.25">
      <c r="B449" s="161" t="s">
        <v>1057</v>
      </c>
      <c r="C449" s="161" t="s">
        <v>1057</v>
      </c>
      <c r="D449" s="161" t="s">
        <v>1057</v>
      </c>
      <c r="E449" s="161" t="s">
        <v>1057</v>
      </c>
      <c r="F449" s="161" t="s">
        <v>1057</v>
      </c>
      <c r="G449" s="161" t="s">
        <v>1057</v>
      </c>
      <c r="H449" s="161" t="s">
        <v>1057</v>
      </c>
      <c r="I449" s="161" t="s">
        <v>1057</v>
      </c>
      <c r="J449" s="161">
        <v>8</v>
      </c>
      <c r="K449" s="161">
        <v>8</v>
      </c>
      <c r="L449" s="160" t="s">
        <v>387</v>
      </c>
      <c r="M449" s="160" t="s">
        <v>386</v>
      </c>
      <c r="N449" s="160" t="s">
        <v>1179</v>
      </c>
      <c r="O449" s="160" t="s">
        <v>1067</v>
      </c>
      <c r="P449" s="160" t="s">
        <v>1118</v>
      </c>
      <c r="Q449" s="160" t="str">
        <f>CONCATENATE(25+(FLOOR(Data!E25/2,1)*5)," ft.")</f>
        <v>25 ft.</v>
      </c>
      <c r="R449" s="162" t="str">
        <f>CONCATENATE("Area: ",Data!E25," 30-ft. cubes (S)")</f>
        <v>Area: 1 30-ft. cubes (S)</v>
      </c>
      <c r="S449" s="160" t="s">
        <v>1139</v>
      </c>
      <c r="T449" s="160" t="s">
        <v>1087</v>
      </c>
      <c r="U449" s="160" t="s">
        <v>801</v>
      </c>
      <c r="V449" s="160" t="s">
        <v>1057</v>
      </c>
    </row>
    <row r="450" spans="2:22" ht="11.25">
      <c r="B450" s="161" t="s">
        <v>1057</v>
      </c>
      <c r="C450" s="161" t="s">
        <v>1057</v>
      </c>
      <c r="D450" s="161">
        <v>3</v>
      </c>
      <c r="E450" s="161" t="s">
        <v>1057</v>
      </c>
      <c r="F450" s="161">
        <v>5</v>
      </c>
      <c r="G450" s="161">
        <v>4</v>
      </c>
      <c r="H450" s="161" t="s">
        <v>1057</v>
      </c>
      <c r="I450" s="161" t="s">
        <v>1057</v>
      </c>
      <c r="J450" s="161" t="s">
        <v>1057</v>
      </c>
      <c r="K450" s="161" t="s">
        <v>1057</v>
      </c>
      <c r="L450" s="160" t="s">
        <v>1057</v>
      </c>
      <c r="M450" s="160" t="s">
        <v>388</v>
      </c>
      <c r="N450" s="160" t="s">
        <v>822</v>
      </c>
      <c r="O450" s="160" t="s">
        <v>389</v>
      </c>
      <c r="P450" s="160" t="s">
        <v>1114</v>
      </c>
      <c r="Q450" s="160" t="s">
        <v>1087</v>
      </c>
      <c r="R450" s="162" t="s">
        <v>1120</v>
      </c>
      <c r="S450" s="160" t="str">
        <f>CONCATENATE(Data!E25," min.")</f>
        <v>1 min.</v>
      </c>
      <c r="T450" s="160" t="s">
        <v>1141</v>
      </c>
      <c r="U450" s="160" t="s">
        <v>805</v>
      </c>
      <c r="V450" s="160" t="s">
        <v>390</v>
      </c>
    </row>
    <row r="451" spans="2:22" ht="11.25">
      <c r="B451" s="161" t="s">
        <v>1057</v>
      </c>
      <c r="C451" s="161" t="s">
        <v>1057</v>
      </c>
      <c r="D451" s="161">
        <v>6</v>
      </c>
      <c r="E451" s="161" t="s">
        <v>1057</v>
      </c>
      <c r="F451" s="161">
        <v>7</v>
      </c>
      <c r="G451" s="161">
        <v>7</v>
      </c>
      <c r="H451" s="161" t="s">
        <v>1057</v>
      </c>
      <c r="I451" s="161" t="s">
        <v>1057</v>
      </c>
      <c r="J451" s="161">
        <v>7</v>
      </c>
      <c r="K451" s="161">
        <v>7</v>
      </c>
      <c r="L451" s="160" t="s">
        <v>1057</v>
      </c>
      <c r="M451" s="160" t="s">
        <v>391</v>
      </c>
      <c r="N451" s="160" t="s">
        <v>822</v>
      </c>
      <c r="O451" s="160" t="s">
        <v>1067</v>
      </c>
      <c r="P451" s="160" t="s">
        <v>1059</v>
      </c>
      <c r="Q451" s="160" t="s">
        <v>1087</v>
      </c>
      <c r="R451" s="162" t="s">
        <v>1120</v>
      </c>
      <c r="S451" s="160" t="str">
        <f>CONCATENATE(Data!E25," hours")</f>
        <v>1 hours</v>
      </c>
      <c r="T451" s="160" t="s">
        <v>1141</v>
      </c>
      <c r="U451" s="160" t="s">
        <v>805</v>
      </c>
      <c r="V451" s="160" t="s">
        <v>1057</v>
      </c>
    </row>
    <row r="452" spans="2:22" ht="11.25">
      <c r="B452" s="161" t="s">
        <v>1057</v>
      </c>
      <c r="C452" s="161" t="s">
        <v>1057</v>
      </c>
      <c r="D452" s="161">
        <v>3</v>
      </c>
      <c r="E452" s="161" t="s">
        <v>1057</v>
      </c>
      <c r="F452" s="161" t="s">
        <v>1057</v>
      </c>
      <c r="G452" s="161" t="s">
        <v>1057</v>
      </c>
      <c r="H452" s="161" t="s">
        <v>1057</v>
      </c>
      <c r="I452" s="161" t="s">
        <v>1057</v>
      </c>
      <c r="J452" s="161" t="s">
        <v>1057</v>
      </c>
      <c r="K452" s="161" t="s">
        <v>1057</v>
      </c>
      <c r="L452" s="160" t="s">
        <v>1057</v>
      </c>
      <c r="M452" s="160" t="s">
        <v>392</v>
      </c>
      <c r="N452" s="160" t="s">
        <v>811</v>
      </c>
      <c r="O452" s="160" t="s">
        <v>1067</v>
      </c>
      <c r="P452" s="160" t="s">
        <v>1059</v>
      </c>
      <c r="Q452" s="160" t="str">
        <f>CONCATENATE(25+(FLOOR(Data!E25/2,1)*5)," ft.")</f>
        <v>25 ft.</v>
      </c>
      <c r="R452" s="162" t="str">
        <f>CONCATENATE("Targets: ",Data!E25," creatures or objects within 30 ft. of each other")</f>
        <v>Targets: 1 creatures or objects within 30 ft. of each other</v>
      </c>
      <c r="S452" s="160" t="str">
        <f>CONCATENATE(Data!E25," hours [D]")</f>
        <v>1 hours [D]</v>
      </c>
      <c r="T452" s="160" t="s">
        <v>1169</v>
      </c>
      <c r="U452" s="160" t="s">
        <v>1170</v>
      </c>
      <c r="V452" s="160" t="s">
        <v>1057</v>
      </c>
    </row>
    <row r="453" spans="2:22" ht="11.25">
      <c r="B453" s="161" t="s">
        <v>1057</v>
      </c>
      <c r="C453" s="161" t="s">
        <v>1057</v>
      </c>
      <c r="D453" s="161" t="s">
        <v>1057</v>
      </c>
      <c r="E453" s="161" t="s">
        <v>1057</v>
      </c>
      <c r="F453" s="161">
        <v>3</v>
      </c>
      <c r="G453" s="161" t="s">
        <v>1057</v>
      </c>
      <c r="H453" s="161" t="s">
        <v>1057</v>
      </c>
      <c r="I453" s="161" t="s">
        <v>1057</v>
      </c>
      <c r="J453" s="161" t="s">
        <v>1057</v>
      </c>
      <c r="K453" s="161" t="s">
        <v>1057</v>
      </c>
      <c r="L453" s="160" t="s">
        <v>393</v>
      </c>
      <c r="M453" s="160" t="s">
        <v>905</v>
      </c>
      <c r="N453" s="160" t="s">
        <v>1162</v>
      </c>
      <c r="O453" s="160" t="s">
        <v>1067</v>
      </c>
      <c r="P453" s="160" t="s">
        <v>1059</v>
      </c>
      <c r="Q453" s="160" t="str">
        <f>CONCATENATE(100+(10*Data!E25)," ft.")</f>
        <v>110 ft.</v>
      </c>
      <c r="R453" s="162" t="s">
        <v>1326</v>
      </c>
      <c r="S453" s="160" t="s">
        <v>1069</v>
      </c>
      <c r="T453" s="160" t="s">
        <v>1061</v>
      </c>
      <c r="U453" s="160" t="s">
        <v>805</v>
      </c>
      <c r="V453" s="160" t="s">
        <v>1057</v>
      </c>
    </row>
    <row r="454" spans="2:22" ht="11.25">
      <c r="B454" s="161" t="s">
        <v>1057</v>
      </c>
      <c r="C454" s="161" t="s">
        <v>1057</v>
      </c>
      <c r="D454" s="161" t="s">
        <v>1057</v>
      </c>
      <c r="E454" s="161" t="s">
        <v>1057</v>
      </c>
      <c r="F454" s="161" t="s">
        <v>1057</v>
      </c>
      <c r="G454" s="161" t="s">
        <v>1057</v>
      </c>
      <c r="H454" s="161" t="s">
        <v>1057</v>
      </c>
      <c r="I454" s="161" t="s">
        <v>1057</v>
      </c>
      <c r="J454" s="161">
        <v>5</v>
      </c>
      <c r="K454" s="161">
        <v>5</v>
      </c>
      <c r="L454" s="160" t="s">
        <v>1057</v>
      </c>
      <c r="M454" s="160" t="s">
        <v>394</v>
      </c>
      <c r="N454" s="160" t="s">
        <v>815</v>
      </c>
      <c r="O454" s="160" t="s">
        <v>1086</v>
      </c>
      <c r="P454" s="160" t="s">
        <v>1118</v>
      </c>
      <c r="Q454" s="160" t="s">
        <v>1087</v>
      </c>
      <c r="R454" s="162" t="str">
        <f>CONCATENATE("Target: One chest and up to ",Data!E25," cu. ft. of goods")</f>
        <v>Target: One chest and up to 1 cu. ft. of goods</v>
      </c>
      <c r="S454" s="160" t="s">
        <v>395</v>
      </c>
      <c r="T454" s="160" t="s">
        <v>1061</v>
      </c>
      <c r="U454" s="160" t="s">
        <v>801</v>
      </c>
      <c r="V454" s="160" t="s">
        <v>1057</v>
      </c>
    </row>
    <row r="455" spans="2:22" ht="11.25">
      <c r="B455" s="161" t="s">
        <v>1057</v>
      </c>
      <c r="C455" s="161" t="s">
        <v>1057</v>
      </c>
      <c r="D455" s="161">
        <v>3</v>
      </c>
      <c r="E455" s="161" t="s">
        <v>1057</v>
      </c>
      <c r="F455" s="161" t="s">
        <v>1057</v>
      </c>
      <c r="G455" s="161" t="s">
        <v>1057</v>
      </c>
      <c r="H455" s="161" t="s">
        <v>1057</v>
      </c>
      <c r="I455" s="161" t="s">
        <v>1057</v>
      </c>
      <c r="J455" s="161">
        <v>3</v>
      </c>
      <c r="K455" s="161">
        <v>3</v>
      </c>
      <c r="L455" s="160" t="s">
        <v>1057</v>
      </c>
      <c r="M455" s="160" t="s">
        <v>396</v>
      </c>
      <c r="N455" s="160" t="s">
        <v>811</v>
      </c>
      <c r="O455" s="160" t="s">
        <v>1091</v>
      </c>
      <c r="P455" s="160" t="s">
        <v>1118</v>
      </c>
      <c r="Q455" s="160" t="s">
        <v>799</v>
      </c>
      <c r="R455" s="162" t="s">
        <v>397</v>
      </c>
      <c r="S455" s="160" t="s">
        <v>800</v>
      </c>
      <c r="T455" s="160" t="s">
        <v>1061</v>
      </c>
      <c r="U455" s="160" t="s">
        <v>801</v>
      </c>
      <c r="V455" s="160" t="s">
        <v>1057</v>
      </c>
    </row>
    <row r="456" spans="2:22" ht="11.25">
      <c r="B456" s="161" t="s">
        <v>1057</v>
      </c>
      <c r="C456" s="161" t="s">
        <v>1057</v>
      </c>
      <c r="D456" s="161">
        <v>4</v>
      </c>
      <c r="E456" s="161" t="s">
        <v>1057</v>
      </c>
      <c r="F456" s="161" t="s">
        <v>1057</v>
      </c>
      <c r="G456" s="161" t="s">
        <v>1057</v>
      </c>
      <c r="H456" s="161" t="s">
        <v>1057</v>
      </c>
      <c r="I456" s="161" t="s">
        <v>1057</v>
      </c>
      <c r="J456" s="161">
        <v>4</v>
      </c>
      <c r="K456" s="161">
        <v>4</v>
      </c>
      <c r="L456" s="160" t="s">
        <v>1057</v>
      </c>
      <c r="M456" s="160" t="s">
        <v>398</v>
      </c>
      <c r="N456" s="160" t="s">
        <v>815</v>
      </c>
      <c r="O456" s="160" t="s">
        <v>1087</v>
      </c>
      <c r="P456" s="160" t="s">
        <v>1118</v>
      </c>
      <c r="Q456" s="160" t="str">
        <f>CONCATENATE(25+(FLOOR(Data!E25/2,1)*5)," ft.")</f>
        <v>25 ft.</v>
      </c>
      <c r="R456" s="162" t="s">
        <v>399</v>
      </c>
      <c r="S456" s="160" t="str">
        <f>CONCATENATE(Data!E25*2," hours [D]")</f>
        <v>2 hours [D]</v>
      </c>
      <c r="T456" s="160" t="s">
        <v>1061</v>
      </c>
      <c r="U456" s="160" t="s">
        <v>801</v>
      </c>
      <c r="V456" s="160" t="s">
        <v>1057</v>
      </c>
    </row>
    <row r="457" spans="2:22" ht="11.25">
      <c r="B457" s="161" t="s">
        <v>1057</v>
      </c>
      <c r="C457" s="161" t="s">
        <v>1057</v>
      </c>
      <c r="D457" s="161" t="s">
        <v>1057</v>
      </c>
      <c r="E457" s="161" t="s">
        <v>1057</v>
      </c>
      <c r="F457" s="161" t="s">
        <v>1057</v>
      </c>
      <c r="G457" s="161" t="s">
        <v>1057</v>
      </c>
      <c r="H457" s="161" t="s">
        <v>1057</v>
      </c>
      <c r="I457" s="161" t="s">
        <v>1057</v>
      </c>
      <c r="J457" s="161">
        <v>2</v>
      </c>
      <c r="K457" s="161">
        <v>2</v>
      </c>
      <c r="L457" s="160" t="s">
        <v>1057</v>
      </c>
      <c r="M457" s="160" t="s">
        <v>316</v>
      </c>
      <c r="N457" s="160" t="s">
        <v>845</v>
      </c>
      <c r="O457" s="160" t="s">
        <v>1086</v>
      </c>
      <c r="P457" s="160" t="s">
        <v>1059</v>
      </c>
      <c r="Q457" s="160" t="s">
        <v>799</v>
      </c>
      <c r="R457" s="162" t="s">
        <v>1152</v>
      </c>
      <c r="S457" s="160" t="str">
        <f>CONCATENATE(Data!E25," hours or until dis.")</f>
        <v>1 hours or until dis.</v>
      </c>
      <c r="T457" s="160" t="s">
        <v>1153</v>
      </c>
      <c r="U457" s="160" t="s">
        <v>1073</v>
      </c>
      <c r="V457" s="160" t="s">
        <v>1057</v>
      </c>
    </row>
    <row r="458" spans="2:22" ht="11.25">
      <c r="B458" s="161" t="s">
        <v>1057</v>
      </c>
      <c r="C458" s="161" t="s">
        <v>1057</v>
      </c>
      <c r="D458" s="161">
        <v>5</v>
      </c>
      <c r="E458" s="161" t="s">
        <v>1057</v>
      </c>
      <c r="F458" s="161" t="s">
        <v>1057</v>
      </c>
      <c r="G458" s="161" t="s">
        <v>1057</v>
      </c>
      <c r="H458" s="161" t="s">
        <v>1057</v>
      </c>
      <c r="I458" s="161" t="s">
        <v>1057</v>
      </c>
      <c r="J458" s="161">
        <v>5</v>
      </c>
      <c r="K458" s="161">
        <v>5</v>
      </c>
      <c r="L458" s="160" t="s">
        <v>1057</v>
      </c>
      <c r="M458" s="160" t="s">
        <v>401</v>
      </c>
      <c r="N458" s="160" t="s">
        <v>1179</v>
      </c>
      <c r="O458" s="160" t="s">
        <v>1067</v>
      </c>
      <c r="P458" s="160" t="s">
        <v>1059</v>
      </c>
      <c r="Q458" s="160" t="str">
        <f>CONCATENATE(25+(FLOOR(Data!E25/2,1)*5)," ft.")</f>
        <v>25 ft.</v>
      </c>
      <c r="R458" s="162" t="str">
        <f>CONCATENATE("Targets: ",FLOOR(Data!E25/2,1)," creatures within 30 ft. of each other")</f>
        <v>Targets: 0 creatures within 30 ft. of each other</v>
      </c>
      <c r="S458" s="160" t="s">
        <v>402</v>
      </c>
      <c r="T458" s="160" t="s">
        <v>403</v>
      </c>
      <c r="U458" s="160" t="s">
        <v>1087</v>
      </c>
      <c r="V458" s="160" t="s">
        <v>1057</v>
      </c>
    </row>
    <row r="459" spans="2:22" ht="11.25">
      <c r="B459" s="161" t="s">
        <v>1057</v>
      </c>
      <c r="C459" s="161" t="s">
        <v>1057</v>
      </c>
      <c r="D459" s="161" t="s">
        <v>1057</v>
      </c>
      <c r="E459" s="161" t="s">
        <v>1057</v>
      </c>
      <c r="F459" s="161">
        <v>4</v>
      </c>
      <c r="G459" s="161" t="s">
        <v>1057</v>
      </c>
      <c r="H459" s="161" t="s">
        <v>1057</v>
      </c>
      <c r="I459" s="161" t="s">
        <v>1057</v>
      </c>
      <c r="J459" s="161">
        <v>5</v>
      </c>
      <c r="K459" s="161">
        <v>5</v>
      </c>
      <c r="L459" s="160" t="s">
        <v>1057</v>
      </c>
      <c r="M459" s="160" t="s">
        <v>929</v>
      </c>
      <c r="N459" s="160" t="s">
        <v>1162</v>
      </c>
      <c r="O459" s="160" t="s">
        <v>1064</v>
      </c>
      <c r="P459" s="160" t="s">
        <v>1118</v>
      </c>
      <c r="Q459" s="160" t="s">
        <v>1087</v>
      </c>
      <c r="R459" s="162" t="s">
        <v>1144</v>
      </c>
      <c r="S459" s="160" t="s">
        <v>1087</v>
      </c>
      <c r="T459" s="160" t="s">
        <v>1061</v>
      </c>
      <c r="U459" s="160" t="s">
        <v>801</v>
      </c>
      <c r="V459" s="160" t="s">
        <v>1057</v>
      </c>
    </row>
    <row r="460" spans="2:22" ht="11.25">
      <c r="B460" s="161" t="s">
        <v>1057</v>
      </c>
      <c r="C460" s="161" t="s">
        <v>1057</v>
      </c>
      <c r="D460" s="161">
        <v>3</v>
      </c>
      <c r="E460" s="161" t="s">
        <v>1057</v>
      </c>
      <c r="F460" s="161" t="s">
        <v>1057</v>
      </c>
      <c r="G460" s="161" t="s">
        <v>1057</v>
      </c>
      <c r="H460" s="161" t="s">
        <v>1057</v>
      </c>
      <c r="I460" s="161" t="s">
        <v>1057</v>
      </c>
      <c r="J460" s="161">
        <v>3</v>
      </c>
      <c r="K460" s="161">
        <v>3</v>
      </c>
      <c r="L460" s="160" t="s">
        <v>1057</v>
      </c>
      <c r="M460" s="160" t="s">
        <v>404</v>
      </c>
      <c r="N460" s="160" t="s">
        <v>815</v>
      </c>
      <c r="O460" s="160" t="s">
        <v>1091</v>
      </c>
      <c r="P460" s="160" t="s">
        <v>1118</v>
      </c>
      <c r="Q460" s="160" t="s">
        <v>799</v>
      </c>
      <c r="R460" s="162" t="s">
        <v>405</v>
      </c>
      <c r="S460" s="160" t="s">
        <v>1087</v>
      </c>
      <c r="T460" s="160" t="s">
        <v>1429</v>
      </c>
      <c r="U460" s="160" t="s">
        <v>801</v>
      </c>
      <c r="V460" s="160" t="s">
        <v>1057</v>
      </c>
    </row>
    <row r="461" spans="2:22" ht="11.25">
      <c r="B461" s="161" t="s">
        <v>1057</v>
      </c>
      <c r="C461" s="161" t="s">
        <v>1057</v>
      </c>
      <c r="D461" s="161" t="s">
        <v>1057</v>
      </c>
      <c r="E461" s="161" t="s">
        <v>1057</v>
      </c>
      <c r="F461" s="161" t="s">
        <v>1057</v>
      </c>
      <c r="G461" s="161" t="s">
        <v>1057</v>
      </c>
      <c r="H461" s="161" t="s">
        <v>1057</v>
      </c>
      <c r="I461" s="161" t="s">
        <v>1057</v>
      </c>
      <c r="J461" s="161">
        <v>7</v>
      </c>
      <c r="K461" s="161">
        <v>7</v>
      </c>
      <c r="L461" s="160" t="s">
        <v>1057</v>
      </c>
      <c r="M461" s="160" t="s">
        <v>406</v>
      </c>
      <c r="N461" s="160" t="s">
        <v>845</v>
      </c>
      <c r="O461" s="160" t="s">
        <v>1091</v>
      </c>
      <c r="P461" s="160" t="s">
        <v>1059</v>
      </c>
      <c r="Q461" s="160" t="s">
        <v>799</v>
      </c>
      <c r="R461" s="162" t="str">
        <f>CONCATENATE("Target: One willing creature or object of up to ",Data!E25*2," ft. cubed")</f>
        <v>Target: One willing creature or object of up to 2 ft. cubed</v>
      </c>
      <c r="S461" s="160" t="str">
        <f>CONCATENATE(Data!E25," days [D]")</f>
        <v>1 days [D]</v>
      </c>
      <c r="T461" s="160" t="s">
        <v>337</v>
      </c>
      <c r="U461" s="160" t="s">
        <v>338</v>
      </c>
      <c r="V461" s="160" t="s">
        <v>1057</v>
      </c>
    </row>
    <row r="462" spans="2:22" ht="11.25">
      <c r="B462" s="161" t="s">
        <v>1057</v>
      </c>
      <c r="C462" s="161" t="s">
        <v>1057</v>
      </c>
      <c r="D462" s="161" t="s">
        <v>1057</v>
      </c>
      <c r="E462" s="161" t="s">
        <v>1057</v>
      </c>
      <c r="F462" s="161" t="s">
        <v>1057</v>
      </c>
      <c r="G462" s="161" t="s">
        <v>1057</v>
      </c>
      <c r="H462" s="161" t="s">
        <v>1057</v>
      </c>
      <c r="I462" s="161" t="s">
        <v>1057</v>
      </c>
      <c r="J462" s="161">
        <v>9</v>
      </c>
      <c r="K462" s="161">
        <v>9</v>
      </c>
      <c r="L462" s="160" t="s">
        <v>1057</v>
      </c>
      <c r="M462" s="160" t="s">
        <v>407</v>
      </c>
      <c r="N462" s="160" t="s">
        <v>1179</v>
      </c>
      <c r="O462" s="160" t="s">
        <v>1067</v>
      </c>
      <c r="P462" s="160" t="s">
        <v>1059</v>
      </c>
      <c r="Q462" s="160" t="s">
        <v>1087</v>
      </c>
      <c r="R462" s="162" t="s">
        <v>1456</v>
      </c>
      <c r="S462" s="160" t="s">
        <v>1087</v>
      </c>
      <c r="T462" s="160" t="s">
        <v>1087</v>
      </c>
      <c r="U462" s="160" t="s">
        <v>1087</v>
      </c>
      <c r="V462" s="160" t="s">
        <v>1057</v>
      </c>
    </row>
    <row r="463" spans="2:22" ht="11.25">
      <c r="B463" s="161" t="s">
        <v>1057</v>
      </c>
      <c r="C463" s="161" t="s">
        <v>1057</v>
      </c>
      <c r="D463" s="161">
        <v>4</v>
      </c>
      <c r="E463" s="161" t="s">
        <v>1057</v>
      </c>
      <c r="F463" s="161" t="s">
        <v>1057</v>
      </c>
      <c r="G463" s="161" t="s">
        <v>1057</v>
      </c>
      <c r="H463" s="161" t="s">
        <v>1057</v>
      </c>
      <c r="I463" s="161" t="s">
        <v>1057</v>
      </c>
      <c r="J463" s="161">
        <v>4</v>
      </c>
      <c r="K463" s="161">
        <v>4</v>
      </c>
      <c r="L463" s="160" t="s">
        <v>1057</v>
      </c>
      <c r="M463" s="160" t="s">
        <v>408</v>
      </c>
      <c r="N463" s="160" t="s">
        <v>1179</v>
      </c>
      <c r="O463" s="160" t="s">
        <v>1067</v>
      </c>
      <c r="P463" s="160" t="s">
        <v>1059</v>
      </c>
      <c r="Q463" s="160" t="s">
        <v>1087</v>
      </c>
      <c r="R463" s="162" t="s">
        <v>1456</v>
      </c>
      <c r="S463" s="160" t="s">
        <v>1087</v>
      </c>
      <c r="T463" s="160" t="s">
        <v>1087</v>
      </c>
      <c r="U463" s="160" t="s">
        <v>1087</v>
      </c>
      <c r="V463" s="160" t="s">
        <v>1057</v>
      </c>
    </row>
    <row r="464" spans="2:22" ht="11.25">
      <c r="B464" s="161" t="s">
        <v>1057</v>
      </c>
      <c r="C464" s="161" t="s">
        <v>1057</v>
      </c>
      <c r="D464" s="161" t="s">
        <v>1057</v>
      </c>
      <c r="E464" s="161" t="s">
        <v>1057</v>
      </c>
      <c r="F464" s="161" t="s">
        <v>1057</v>
      </c>
      <c r="G464" s="161" t="s">
        <v>1057</v>
      </c>
      <c r="H464" s="161" t="s">
        <v>1057</v>
      </c>
      <c r="I464" s="161" t="s">
        <v>1057</v>
      </c>
      <c r="J464" s="161">
        <v>7</v>
      </c>
      <c r="K464" s="161">
        <v>7</v>
      </c>
      <c r="L464" s="160" t="s">
        <v>1057</v>
      </c>
      <c r="M464" s="160" t="s">
        <v>409</v>
      </c>
      <c r="N464" s="160" t="s">
        <v>1179</v>
      </c>
      <c r="O464" s="160" t="s">
        <v>1067</v>
      </c>
      <c r="P464" s="160" t="s">
        <v>1059</v>
      </c>
      <c r="Q464" s="160" t="s">
        <v>1087</v>
      </c>
      <c r="R464" s="162" t="s">
        <v>1456</v>
      </c>
      <c r="S464" s="160" t="s">
        <v>1087</v>
      </c>
      <c r="T464" s="160" t="s">
        <v>1087</v>
      </c>
      <c r="U464" s="160" t="s">
        <v>1087</v>
      </c>
      <c r="V464" s="160" t="s">
        <v>1057</v>
      </c>
    </row>
    <row r="465" spans="2:22" ht="11.25">
      <c r="B465" s="161" t="s">
        <v>1057</v>
      </c>
      <c r="C465" s="161" t="s">
        <v>1057</v>
      </c>
      <c r="D465" s="161">
        <v>5</v>
      </c>
      <c r="E465" s="161" t="s">
        <v>1057</v>
      </c>
      <c r="F465" s="161" t="s">
        <v>1057</v>
      </c>
      <c r="G465" s="161" t="s">
        <v>1057</v>
      </c>
      <c r="H465" s="161" t="s">
        <v>1057</v>
      </c>
      <c r="I465" s="161" t="s">
        <v>1057</v>
      </c>
      <c r="J465" s="161">
        <v>5</v>
      </c>
      <c r="K465" s="161">
        <v>5</v>
      </c>
      <c r="L465" s="160" t="s">
        <v>1057</v>
      </c>
      <c r="M465" s="160" t="s">
        <v>410</v>
      </c>
      <c r="N465" s="160" t="s">
        <v>1179</v>
      </c>
      <c r="O465" s="160" t="s">
        <v>1067</v>
      </c>
      <c r="P465" s="160" t="s">
        <v>1059</v>
      </c>
      <c r="Q465" s="160" t="s">
        <v>1087</v>
      </c>
      <c r="R465" s="162" t="s">
        <v>1456</v>
      </c>
      <c r="S465" s="160" t="s">
        <v>1087</v>
      </c>
      <c r="T465" s="160" t="s">
        <v>1462</v>
      </c>
      <c r="U465" s="160" t="s">
        <v>805</v>
      </c>
      <c r="V465" s="160" t="s">
        <v>1057</v>
      </c>
    </row>
    <row r="466" spans="2:22" ht="11.25">
      <c r="B466" s="161" t="s">
        <v>1057</v>
      </c>
      <c r="C466" s="161" t="s">
        <v>1057</v>
      </c>
      <c r="D466" s="161" t="s">
        <v>1057</v>
      </c>
      <c r="E466" s="161" t="s">
        <v>1057</v>
      </c>
      <c r="F466" s="161" t="s">
        <v>1057</v>
      </c>
      <c r="G466" s="161" t="s">
        <v>1057</v>
      </c>
      <c r="H466" s="161" t="s">
        <v>1057</v>
      </c>
      <c r="I466" s="161" t="s">
        <v>1057</v>
      </c>
      <c r="J466" s="161">
        <v>8</v>
      </c>
      <c r="K466" s="161">
        <v>8</v>
      </c>
      <c r="L466" s="160" t="s">
        <v>1057</v>
      </c>
      <c r="M466" s="160" t="s">
        <v>411</v>
      </c>
      <c r="N466" s="160" t="s">
        <v>1179</v>
      </c>
      <c r="O466" s="160" t="s">
        <v>1067</v>
      </c>
      <c r="P466" s="160" t="s">
        <v>1059</v>
      </c>
      <c r="Q466" s="160" t="s">
        <v>1087</v>
      </c>
      <c r="R466" s="162" t="s">
        <v>1456</v>
      </c>
      <c r="S466" s="160" t="s">
        <v>1087</v>
      </c>
      <c r="T466" s="160" t="s">
        <v>1462</v>
      </c>
      <c r="U466" s="160" t="s">
        <v>805</v>
      </c>
      <c r="V466" s="160" t="s">
        <v>1057</v>
      </c>
    </row>
    <row r="467" spans="2:22" ht="11.25">
      <c r="B467" s="161" t="s">
        <v>1057</v>
      </c>
      <c r="C467" s="161" t="s">
        <v>1057</v>
      </c>
      <c r="D467" s="161">
        <v>5</v>
      </c>
      <c r="E467" s="161" t="s">
        <v>1057</v>
      </c>
      <c r="F467" s="161" t="s">
        <v>1057</v>
      </c>
      <c r="G467" s="161" t="s">
        <v>1057</v>
      </c>
      <c r="H467" s="161" t="s">
        <v>1057</v>
      </c>
      <c r="I467" s="161" t="s">
        <v>1057</v>
      </c>
      <c r="J467" s="161">
        <v>6</v>
      </c>
      <c r="K467" s="161">
        <v>6</v>
      </c>
      <c r="L467" s="160" t="s">
        <v>1057</v>
      </c>
      <c r="M467" s="160" t="s">
        <v>412</v>
      </c>
      <c r="N467" s="160" t="s">
        <v>1179</v>
      </c>
      <c r="O467" s="160" t="s">
        <v>1067</v>
      </c>
      <c r="P467" s="160" t="s">
        <v>1059</v>
      </c>
      <c r="Q467" s="160" t="s">
        <v>799</v>
      </c>
      <c r="R467" s="162" t="str">
        <f>CONCATENATE("Targets: Up to ",Data!E25," touched creatures")</f>
        <v>Targets: Up to 1 touched creatures</v>
      </c>
      <c r="S467" s="160" t="str">
        <f>CONCATENATE(Data!E25," hours [D]")</f>
        <v>1 hours [D]</v>
      </c>
      <c r="T467" s="160" t="s">
        <v>1141</v>
      </c>
      <c r="U467" s="160" t="s">
        <v>805</v>
      </c>
      <c r="V467" s="160" t="s">
        <v>1057</v>
      </c>
    </row>
    <row r="468" spans="2:22" ht="11.25">
      <c r="B468" s="161" t="s">
        <v>1057</v>
      </c>
      <c r="C468" s="161" t="s">
        <v>1057</v>
      </c>
      <c r="D468" s="161" t="s">
        <v>1057</v>
      </c>
      <c r="E468" s="161" t="s">
        <v>1057</v>
      </c>
      <c r="F468" s="161" t="s">
        <v>1057</v>
      </c>
      <c r="G468" s="161">
        <v>9</v>
      </c>
      <c r="H468" s="161" t="s">
        <v>1057</v>
      </c>
      <c r="I468" s="161" t="s">
        <v>1057</v>
      </c>
      <c r="J468" s="161" t="s">
        <v>1057</v>
      </c>
      <c r="K468" s="161" t="s">
        <v>1057</v>
      </c>
      <c r="L468" s="160" t="s">
        <v>414</v>
      </c>
      <c r="M468" s="160" t="s">
        <v>413</v>
      </c>
      <c r="N468" s="160" t="s">
        <v>815</v>
      </c>
      <c r="O468" s="160" t="s">
        <v>1067</v>
      </c>
      <c r="P468" s="160" t="s">
        <v>1059</v>
      </c>
      <c r="Q468" s="160" t="str">
        <f>CONCATENATE(100+(10*Data!E25)," ft.")</f>
        <v>110 ft.</v>
      </c>
      <c r="R468" s="162" t="s">
        <v>415</v>
      </c>
      <c r="S468" s="160" t="s">
        <v>1087</v>
      </c>
      <c r="T468" s="160" t="s">
        <v>1061</v>
      </c>
      <c r="U468" s="160" t="s">
        <v>801</v>
      </c>
      <c r="V468" s="160" t="s">
        <v>1057</v>
      </c>
    </row>
    <row r="469" spans="2:22" ht="11.25">
      <c r="B469" s="161" t="s">
        <v>1057</v>
      </c>
      <c r="C469" s="161" t="s">
        <v>1057</v>
      </c>
      <c r="D469" s="161" t="s">
        <v>1057</v>
      </c>
      <c r="E469" s="161" t="s">
        <v>1057</v>
      </c>
      <c r="F469" s="161" t="s">
        <v>1057</v>
      </c>
      <c r="G469" s="161">
        <v>9</v>
      </c>
      <c r="H469" s="161" t="s">
        <v>1057</v>
      </c>
      <c r="I469" s="161" t="s">
        <v>1057</v>
      </c>
      <c r="J469" s="161">
        <v>9</v>
      </c>
      <c r="K469" s="161">
        <v>9</v>
      </c>
      <c r="L469" s="160" t="s">
        <v>417</v>
      </c>
      <c r="M469" s="160" t="s">
        <v>416</v>
      </c>
      <c r="N469" s="160" t="s">
        <v>811</v>
      </c>
      <c r="O469" s="160" t="s">
        <v>1086</v>
      </c>
      <c r="P469" s="160" t="s">
        <v>1059</v>
      </c>
      <c r="Q469" s="160" t="s">
        <v>817</v>
      </c>
      <c r="R469" s="162" t="s">
        <v>1084</v>
      </c>
      <c r="S469" s="160" t="str">
        <f>CONCATENATE(Data!E25*10," min. [D]")</f>
        <v>10 min. [D]</v>
      </c>
      <c r="T469" s="160" t="s">
        <v>1061</v>
      </c>
      <c r="U469" s="160" t="s">
        <v>801</v>
      </c>
      <c r="V469" s="160" t="s">
        <v>1057</v>
      </c>
    </row>
    <row r="470" spans="2:22" ht="11.25">
      <c r="B470" s="161" t="s">
        <v>1057</v>
      </c>
      <c r="C470" s="161" t="s">
        <v>1057</v>
      </c>
      <c r="D470" s="161" t="s">
        <v>1057</v>
      </c>
      <c r="E470" s="161" t="s">
        <v>1057</v>
      </c>
      <c r="F470" s="161">
        <v>2</v>
      </c>
      <c r="G470" s="161" t="s">
        <v>1057</v>
      </c>
      <c r="H470" s="161">
        <v>2</v>
      </c>
      <c r="I470" s="161" t="s">
        <v>1057</v>
      </c>
      <c r="J470" s="161" t="s">
        <v>1057</v>
      </c>
      <c r="K470" s="161" t="s">
        <v>1057</v>
      </c>
      <c r="L470" s="160" t="s">
        <v>1057</v>
      </c>
      <c r="M470" s="160" t="s">
        <v>870</v>
      </c>
      <c r="N470" s="160" t="s">
        <v>815</v>
      </c>
      <c r="O470" s="160" t="s">
        <v>1067</v>
      </c>
      <c r="P470" s="160" t="s">
        <v>1059</v>
      </c>
      <c r="Q470" s="160" t="str">
        <f>CONCATENATE(25+(FLOOR(Data!E25/2,1)*5)," ft.")</f>
        <v>25 ft.</v>
      </c>
      <c r="R470" s="162" t="s">
        <v>357</v>
      </c>
      <c r="S470" s="160" t="s">
        <v>1069</v>
      </c>
      <c r="T470" s="160" t="s">
        <v>1153</v>
      </c>
      <c r="U470" s="160" t="s">
        <v>1073</v>
      </c>
      <c r="V470" s="160" t="s">
        <v>1057</v>
      </c>
    </row>
    <row r="471" spans="2:22" ht="11.25">
      <c r="B471" s="161">
        <v>2</v>
      </c>
      <c r="C471" s="161">
        <v>2</v>
      </c>
      <c r="D471" s="161">
        <v>2</v>
      </c>
      <c r="E471" s="161">
        <v>2</v>
      </c>
      <c r="F471" s="161">
        <v>2</v>
      </c>
      <c r="G471" s="161" t="s">
        <v>1057</v>
      </c>
      <c r="H471" s="161" t="s">
        <v>1057</v>
      </c>
      <c r="I471" s="161" t="s">
        <v>1057</v>
      </c>
      <c r="J471" s="161">
        <v>2</v>
      </c>
      <c r="K471" s="161">
        <v>2</v>
      </c>
      <c r="L471" s="160" t="s">
        <v>1057</v>
      </c>
      <c r="M471" s="160" t="s">
        <v>860</v>
      </c>
      <c r="N471" s="160" t="s">
        <v>1162</v>
      </c>
      <c r="O471" s="160" t="s">
        <v>1289</v>
      </c>
      <c r="P471" s="160" t="s">
        <v>1059</v>
      </c>
      <c r="Q471" s="160" t="s">
        <v>799</v>
      </c>
      <c r="R471" s="162" t="s">
        <v>1290</v>
      </c>
      <c r="S471" s="160" t="str">
        <f>CONCATENATE(Data!E25*10," min. [D]")</f>
        <v>10 min. [D]</v>
      </c>
      <c r="T471" s="160" t="s">
        <v>1061</v>
      </c>
      <c r="U471" s="160" t="s">
        <v>801</v>
      </c>
      <c r="V471" s="160" t="s">
        <v>1057</v>
      </c>
    </row>
    <row r="472" spans="2:22" ht="11.25">
      <c r="B472" s="161" t="s">
        <v>1057</v>
      </c>
      <c r="C472" s="161" t="s">
        <v>1057</v>
      </c>
      <c r="D472" s="161">
        <v>2</v>
      </c>
      <c r="E472" s="161">
        <v>2</v>
      </c>
      <c r="F472" s="161">
        <v>2</v>
      </c>
      <c r="G472" s="161" t="s">
        <v>1057</v>
      </c>
      <c r="H472" s="161">
        <v>2</v>
      </c>
      <c r="I472" s="161" t="s">
        <v>1057</v>
      </c>
      <c r="J472" s="161">
        <v>2</v>
      </c>
      <c r="K472" s="161">
        <v>2</v>
      </c>
      <c r="L472" s="160" t="s">
        <v>1057</v>
      </c>
      <c r="M472" s="160" t="s">
        <v>1364</v>
      </c>
      <c r="N472" s="160" t="s">
        <v>811</v>
      </c>
      <c r="O472" s="160" t="s">
        <v>1064</v>
      </c>
      <c r="P472" s="160" t="s">
        <v>1059</v>
      </c>
      <c r="Q472" s="160" t="s">
        <v>799</v>
      </c>
      <c r="R472" s="162" t="s">
        <v>1152</v>
      </c>
      <c r="S472" s="160" t="str">
        <f>CONCATENATE(Data!E25," min.")</f>
        <v>1 min.</v>
      </c>
      <c r="T472" s="160" t="s">
        <v>1153</v>
      </c>
      <c r="U472" s="160" t="s">
        <v>805</v>
      </c>
      <c r="V472" s="160" t="s">
        <v>1057</v>
      </c>
    </row>
    <row r="473" spans="2:22" ht="11.25">
      <c r="B473" s="161" t="s">
        <v>1057</v>
      </c>
      <c r="C473" s="161" t="s">
        <v>1057</v>
      </c>
      <c r="D473" s="161" t="s">
        <v>1057</v>
      </c>
      <c r="E473" s="161" t="s">
        <v>1057</v>
      </c>
      <c r="F473" s="161">
        <v>8</v>
      </c>
      <c r="G473" s="161" t="s">
        <v>1057</v>
      </c>
      <c r="H473" s="161" t="s">
        <v>1057</v>
      </c>
      <c r="I473" s="161" t="s">
        <v>1057</v>
      </c>
      <c r="J473" s="161" t="s">
        <v>1057</v>
      </c>
      <c r="K473" s="161" t="s">
        <v>1057</v>
      </c>
      <c r="L473" s="160" t="s">
        <v>421</v>
      </c>
      <c r="M473" s="160" t="s">
        <v>420</v>
      </c>
      <c r="N473" s="160" t="s">
        <v>845</v>
      </c>
      <c r="O473" s="160" t="s">
        <v>1086</v>
      </c>
      <c r="P473" s="160" t="s">
        <v>1059</v>
      </c>
      <c r="Q473" s="160" t="s">
        <v>1228</v>
      </c>
      <c r="R473" s="162" t="str">
        <f>CONCATENATE("Targets: ",Data!E25," creatures in a 20-ft.-radius burst centered on you")</f>
        <v>Targets: 1 creatures in a 20-ft.-radius burst centered on you</v>
      </c>
      <c r="S473" s="160" t="str">
        <f>CONCATENATE(Data!E25," rnds [D]")</f>
        <v>1 rnds [D]</v>
      </c>
      <c r="T473" s="160" t="s">
        <v>1087</v>
      </c>
      <c r="U473" s="160" t="s">
        <v>1073</v>
      </c>
      <c r="V473" s="160" t="s">
        <v>1057</v>
      </c>
    </row>
    <row r="474" spans="2:22" ht="11.25">
      <c r="B474" s="161" t="s">
        <v>1057</v>
      </c>
      <c r="C474" s="161" t="s">
        <v>1057</v>
      </c>
      <c r="D474" s="161" t="s">
        <v>1057</v>
      </c>
      <c r="E474" s="161" t="s">
        <v>1057</v>
      </c>
      <c r="F474" s="161">
        <v>2</v>
      </c>
      <c r="G474" s="161">
        <v>2</v>
      </c>
      <c r="H474" s="161">
        <v>1</v>
      </c>
      <c r="I474" s="161" t="s">
        <v>1057</v>
      </c>
      <c r="J474" s="161" t="s">
        <v>1057</v>
      </c>
      <c r="K474" s="161" t="s">
        <v>1057</v>
      </c>
      <c r="L474" s="160" t="s">
        <v>1057</v>
      </c>
      <c r="M474" s="160" t="s">
        <v>370</v>
      </c>
      <c r="N474" s="160" t="s">
        <v>815</v>
      </c>
      <c r="O474" s="160" t="s">
        <v>1067</v>
      </c>
      <c r="P474" s="160" t="s">
        <v>1407</v>
      </c>
      <c r="Q474" s="160" t="s">
        <v>799</v>
      </c>
      <c r="R474" s="162" t="s">
        <v>1152</v>
      </c>
      <c r="S474" s="160" t="s">
        <v>1069</v>
      </c>
      <c r="T474" s="160" t="s">
        <v>1153</v>
      </c>
      <c r="U474" s="160" t="s">
        <v>1073</v>
      </c>
      <c r="V474" s="160" t="s">
        <v>1057</v>
      </c>
    </row>
    <row r="475" spans="2:22" ht="11.25">
      <c r="B475" s="161" t="s">
        <v>1057</v>
      </c>
      <c r="C475" s="161" t="s">
        <v>1057</v>
      </c>
      <c r="D475" s="161" t="s">
        <v>1057</v>
      </c>
      <c r="E475" s="161" t="s">
        <v>1057</v>
      </c>
      <c r="F475" s="161" t="s">
        <v>1057</v>
      </c>
      <c r="G475" s="161">
        <v>1</v>
      </c>
      <c r="H475" s="161" t="s">
        <v>1057</v>
      </c>
      <c r="I475" s="161" t="s">
        <v>1057</v>
      </c>
      <c r="J475" s="161" t="s">
        <v>1057</v>
      </c>
      <c r="K475" s="161" t="s">
        <v>1057</v>
      </c>
      <c r="L475" s="160" t="s">
        <v>1057</v>
      </c>
      <c r="M475" s="160" t="s">
        <v>423</v>
      </c>
      <c r="N475" s="160" t="s">
        <v>811</v>
      </c>
      <c r="O475" s="160" t="s">
        <v>1071</v>
      </c>
      <c r="P475" s="160" t="s">
        <v>1059</v>
      </c>
      <c r="Q475" s="160" t="s">
        <v>799</v>
      </c>
      <c r="R475" s="162" t="s">
        <v>424</v>
      </c>
      <c r="S475" s="160" t="str">
        <f>CONCATENATE(Data!E25," min.")</f>
        <v>1 min.</v>
      </c>
      <c r="T475" s="160" t="s">
        <v>1169</v>
      </c>
      <c r="U475" s="160" t="s">
        <v>1217</v>
      </c>
      <c r="V475" s="160" t="s">
        <v>1057</v>
      </c>
    </row>
    <row r="476" spans="2:22" ht="11.25">
      <c r="B476" s="161" t="s">
        <v>1057</v>
      </c>
      <c r="C476" s="161" t="s">
        <v>1057</v>
      </c>
      <c r="D476" s="161">
        <v>2</v>
      </c>
      <c r="E476" s="161" t="s">
        <v>1057</v>
      </c>
      <c r="F476" s="161" t="s">
        <v>1057</v>
      </c>
      <c r="G476" s="161" t="s">
        <v>1057</v>
      </c>
      <c r="H476" s="161" t="s">
        <v>1057</v>
      </c>
      <c r="I476" s="161" t="s">
        <v>1057</v>
      </c>
      <c r="J476" s="161">
        <v>2</v>
      </c>
      <c r="K476" s="161">
        <v>2</v>
      </c>
      <c r="L476" s="160" t="s">
        <v>1057</v>
      </c>
      <c r="M476" s="160" t="s">
        <v>334</v>
      </c>
      <c r="N476" s="160" t="s">
        <v>811</v>
      </c>
      <c r="O476" s="160" t="s">
        <v>1091</v>
      </c>
      <c r="P476" s="160" t="s">
        <v>1059</v>
      </c>
      <c r="Q476" s="160" t="str">
        <f>CONCATENATE(400+(40*Data!E25)," ft.")</f>
        <v>440 ft.</v>
      </c>
      <c r="R476" s="162" t="s">
        <v>335</v>
      </c>
      <c r="S476" s="160" t="s">
        <v>1087</v>
      </c>
      <c r="T476" s="160" t="s">
        <v>1087</v>
      </c>
      <c r="U476" s="160" t="s">
        <v>1087</v>
      </c>
      <c r="V476" s="160" t="s">
        <v>1057</v>
      </c>
    </row>
    <row r="477" spans="2:22" ht="11.25">
      <c r="B477" s="161" t="s">
        <v>1057</v>
      </c>
      <c r="C477" s="161" t="s">
        <v>1057</v>
      </c>
      <c r="D477" s="161">
        <v>4</v>
      </c>
      <c r="E477" s="161" t="s">
        <v>1057</v>
      </c>
      <c r="F477" s="161" t="s">
        <v>1057</v>
      </c>
      <c r="G477" s="161" t="s">
        <v>1057</v>
      </c>
      <c r="H477" s="161" t="s">
        <v>1057</v>
      </c>
      <c r="I477" s="161" t="s">
        <v>1057</v>
      </c>
      <c r="J477" s="161">
        <v>4</v>
      </c>
      <c r="K477" s="161">
        <v>4</v>
      </c>
      <c r="L477" s="160" t="s">
        <v>1057</v>
      </c>
      <c r="M477" s="160" t="s">
        <v>426</v>
      </c>
      <c r="N477" s="160" t="s">
        <v>1162</v>
      </c>
      <c r="O477" s="160" t="s">
        <v>1104</v>
      </c>
      <c r="P477" s="160" t="s">
        <v>1059</v>
      </c>
      <c r="Q477" s="160" t="s">
        <v>1274</v>
      </c>
      <c r="R477" s="162" t="s">
        <v>1187</v>
      </c>
      <c r="S477" s="160" t="s">
        <v>1069</v>
      </c>
      <c r="T477" s="160" t="s">
        <v>1087</v>
      </c>
      <c r="U477" s="160" t="s">
        <v>1217</v>
      </c>
      <c r="V477" s="160" t="s">
        <v>1057</v>
      </c>
    </row>
    <row r="478" spans="2:22" ht="11.25">
      <c r="B478" s="161" t="s">
        <v>1057</v>
      </c>
      <c r="C478" s="161" t="s">
        <v>1057</v>
      </c>
      <c r="D478" s="161">
        <v>6</v>
      </c>
      <c r="E478" s="161" t="s">
        <v>1057</v>
      </c>
      <c r="F478" s="161" t="s">
        <v>1057</v>
      </c>
      <c r="G478" s="161" t="s">
        <v>1057</v>
      </c>
      <c r="H478" s="161" t="s">
        <v>1057</v>
      </c>
      <c r="I478" s="161" t="s">
        <v>1057</v>
      </c>
      <c r="J478" s="161">
        <v>8</v>
      </c>
      <c r="K478" s="161">
        <v>8</v>
      </c>
      <c r="L478" s="160" t="s">
        <v>1057</v>
      </c>
      <c r="M478" s="160" t="s">
        <v>427</v>
      </c>
      <c r="N478" s="160" t="s">
        <v>1162</v>
      </c>
      <c r="O478" s="160" t="s">
        <v>1086</v>
      </c>
      <c r="P478" s="160" t="s">
        <v>1059</v>
      </c>
      <c r="Q478" s="160" t="s">
        <v>1246</v>
      </c>
      <c r="R478" s="162" t="s">
        <v>1187</v>
      </c>
      <c r="S478" s="160" t="s">
        <v>1069</v>
      </c>
      <c r="T478" s="160" t="s">
        <v>1087</v>
      </c>
      <c r="U478" s="160" t="s">
        <v>1217</v>
      </c>
      <c r="V478" s="160" t="s">
        <v>1057</v>
      </c>
    </row>
    <row r="479" spans="2:22" ht="11.25">
      <c r="B479" s="161" t="s">
        <v>1057</v>
      </c>
      <c r="C479" s="161" t="s">
        <v>1057</v>
      </c>
      <c r="D479" s="161" t="s">
        <v>1057</v>
      </c>
      <c r="E479" s="161" t="s">
        <v>1057</v>
      </c>
      <c r="F479" s="161" t="s">
        <v>1057</v>
      </c>
      <c r="G479" s="161" t="s">
        <v>1057</v>
      </c>
      <c r="H479" s="161" t="s">
        <v>1057</v>
      </c>
      <c r="I479" s="161" t="s">
        <v>1057</v>
      </c>
      <c r="J479" s="161">
        <v>3</v>
      </c>
      <c r="K479" s="161">
        <v>3</v>
      </c>
      <c r="L479" s="160" t="s">
        <v>1057</v>
      </c>
      <c r="M479" s="160" t="s">
        <v>428</v>
      </c>
      <c r="N479" s="160" t="s">
        <v>811</v>
      </c>
      <c r="O479" s="160" t="s">
        <v>1067</v>
      </c>
      <c r="P479" s="160" t="s">
        <v>1059</v>
      </c>
      <c r="Q479" s="160" t="s">
        <v>799</v>
      </c>
      <c r="R479" s="162" t="str">
        <f>CONCATENATE("Target: One touched object of up to ",Data!E25*2," cu. ft")</f>
        <v>Target: One touched object of up to 2 cu. ft</v>
      </c>
      <c r="S479" s="160" t="str">
        <f>CONCATENATE(Data!E25," days; see text")</f>
        <v>1 days; see text</v>
      </c>
      <c r="T479" s="160" t="s">
        <v>1169</v>
      </c>
      <c r="U479" s="160" t="s">
        <v>1217</v>
      </c>
      <c r="V479" s="160" t="s">
        <v>1057</v>
      </c>
    </row>
    <row r="480" spans="2:22" ht="11.25">
      <c r="B480" s="161" t="s">
        <v>1057</v>
      </c>
      <c r="C480" s="161" t="s">
        <v>1057</v>
      </c>
      <c r="D480" s="161" t="s">
        <v>1057</v>
      </c>
      <c r="E480" s="161" t="s">
        <v>1057</v>
      </c>
      <c r="F480" s="161" t="s">
        <v>1057</v>
      </c>
      <c r="G480" s="161" t="s">
        <v>1057</v>
      </c>
      <c r="H480" s="161" t="s">
        <v>1057</v>
      </c>
      <c r="I480" s="161" t="s">
        <v>1057</v>
      </c>
      <c r="J480" s="161">
        <v>2</v>
      </c>
      <c r="K480" s="161">
        <v>2</v>
      </c>
      <c r="L480" s="160" t="s">
        <v>1057</v>
      </c>
      <c r="M480" s="160" t="s">
        <v>376</v>
      </c>
      <c r="N480" s="160" t="s">
        <v>811</v>
      </c>
      <c r="O480" s="160" t="s">
        <v>1091</v>
      </c>
      <c r="P480" s="160" t="s">
        <v>1059</v>
      </c>
      <c r="Q480" s="160" t="s">
        <v>799</v>
      </c>
      <c r="R480" s="162" t="s">
        <v>377</v>
      </c>
      <c r="S480" s="160" t="str">
        <f>CONCATENATE(Data!E25," hours [D]")</f>
        <v>1 hours [D]</v>
      </c>
      <c r="T480" s="160" t="s">
        <v>1061</v>
      </c>
      <c r="U480" s="160" t="s">
        <v>801</v>
      </c>
      <c r="V480" s="160" t="s">
        <v>1057</v>
      </c>
    </row>
    <row r="481" spans="2:22" ht="11.25">
      <c r="B481" s="161" t="s">
        <v>1057</v>
      </c>
      <c r="C481" s="161" t="s">
        <v>1057</v>
      </c>
      <c r="D481" s="161" t="s">
        <v>1057</v>
      </c>
      <c r="E481" s="161" t="s">
        <v>1057</v>
      </c>
      <c r="F481" s="161">
        <v>2</v>
      </c>
      <c r="G481" s="161">
        <v>2</v>
      </c>
      <c r="H481" s="161">
        <v>2</v>
      </c>
      <c r="I481" s="161">
        <v>2</v>
      </c>
      <c r="J481" s="161">
        <v>2</v>
      </c>
      <c r="K481" s="161">
        <v>2</v>
      </c>
      <c r="L481" s="160" t="s">
        <v>1057</v>
      </c>
      <c r="M481" s="160" t="s">
        <v>259</v>
      </c>
      <c r="N481" s="160" t="s">
        <v>811</v>
      </c>
      <c r="O481" s="160" t="s">
        <v>1064</v>
      </c>
      <c r="P481" s="160" t="s">
        <v>1059</v>
      </c>
      <c r="Q481" s="160" t="s">
        <v>799</v>
      </c>
      <c r="R481" s="162" t="s">
        <v>1152</v>
      </c>
      <c r="S481" s="160" t="str">
        <f>CONCATENATE(Data!E25," min.")</f>
        <v>1 min.</v>
      </c>
      <c r="T481" s="160" t="s">
        <v>1153</v>
      </c>
      <c r="U481" s="160" t="s">
        <v>805</v>
      </c>
      <c r="V481" s="160" t="s">
        <v>1057</v>
      </c>
    </row>
    <row r="482" spans="2:22" ht="11.25">
      <c r="B482" s="161" t="s">
        <v>1057</v>
      </c>
      <c r="C482" s="161" t="s">
        <v>1057</v>
      </c>
      <c r="D482" s="161" t="s">
        <v>1057</v>
      </c>
      <c r="E482" s="161" t="s">
        <v>1057</v>
      </c>
      <c r="F482" s="161" t="s">
        <v>1057</v>
      </c>
      <c r="G482" s="161" t="s">
        <v>1057</v>
      </c>
      <c r="H482" s="161" t="s">
        <v>1057</v>
      </c>
      <c r="I482" s="161" t="s">
        <v>1057</v>
      </c>
      <c r="J482" s="161">
        <v>7</v>
      </c>
      <c r="K482" s="161">
        <v>7</v>
      </c>
      <c r="L482" s="160" t="s">
        <v>1057</v>
      </c>
      <c r="M482" s="160" t="s">
        <v>431</v>
      </c>
      <c r="N482" s="160" t="s">
        <v>1179</v>
      </c>
      <c r="O482" s="160" t="s">
        <v>432</v>
      </c>
      <c r="P482" s="160" t="s">
        <v>433</v>
      </c>
      <c r="Q482" s="160" t="s">
        <v>1124</v>
      </c>
      <c r="R482" s="162" t="s">
        <v>434</v>
      </c>
      <c r="S482" s="160" t="s">
        <v>1069</v>
      </c>
      <c r="T482" s="160" t="s">
        <v>1061</v>
      </c>
      <c r="U482" s="160" t="s">
        <v>801</v>
      </c>
      <c r="V482" s="160" t="s">
        <v>1057</v>
      </c>
    </row>
    <row r="483" spans="2:22" ht="11.25">
      <c r="B483" s="161" t="s">
        <v>1057</v>
      </c>
      <c r="C483" s="161" t="s">
        <v>1057</v>
      </c>
      <c r="D483" s="161" t="s">
        <v>1057</v>
      </c>
      <c r="E483" s="161" t="s">
        <v>1057</v>
      </c>
      <c r="F483" s="161">
        <v>5</v>
      </c>
      <c r="G483" s="161" t="s">
        <v>1057</v>
      </c>
      <c r="H483" s="161" t="s">
        <v>1057</v>
      </c>
      <c r="I483" s="161" t="s">
        <v>1057</v>
      </c>
      <c r="J483" s="161" t="s">
        <v>1057</v>
      </c>
      <c r="K483" s="161" t="s">
        <v>1057</v>
      </c>
      <c r="L483" s="160" t="s">
        <v>436</v>
      </c>
      <c r="M483" s="160" t="s">
        <v>435</v>
      </c>
      <c r="N483" s="160" t="s">
        <v>826</v>
      </c>
      <c r="O483" s="160" t="s">
        <v>1067</v>
      </c>
      <c r="P483" s="160" t="s">
        <v>1059</v>
      </c>
      <c r="Q483" s="160" t="s">
        <v>799</v>
      </c>
      <c r="R483" s="162" t="s">
        <v>1072</v>
      </c>
      <c r="S483" s="160" t="s">
        <v>1069</v>
      </c>
      <c r="T483" s="160" t="s">
        <v>1306</v>
      </c>
      <c r="U483" s="160" t="s">
        <v>805</v>
      </c>
      <c r="V483" s="160" t="s">
        <v>1057</v>
      </c>
    </row>
    <row r="484" spans="2:22" ht="11.25">
      <c r="B484" s="161" t="s">
        <v>1057</v>
      </c>
      <c r="C484" s="161" t="s">
        <v>1057</v>
      </c>
      <c r="D484" s="161">
        <v>2</v>
      </c>
      <c r="E484" s="161" t="s">
        <v>1057</v>
      </c>
      <c r="F484" s="161" t="s">
        <v>1057</v>
      </c>
      <c r="G484" s="161" t="s">
        <v>1057</v>
      </c>
      <c r="H484" s="161" t="s">
        <v>1057</v>
      </c>
      <c r="I484" s="161" t="s">
        <v>1057</v>
      </c>
      <c r="J484" s="161">
        <v>2</v>
      </c>
      <c r="K484" s="161">
        <v>2</v>
      </c>
      <c r="L484" s="160" t="s">
        <v>1057</v>
      </c>
      <c r="M484" s="160" t="s">
        <v>381</v>
      </c>
      <c r="N484" s="160" t="s">
        <v>826</v>
      </c>
      <c r="O484" s="160" t="s">
        <v>1091</v>
      </c>
      <c r="P484" s="160" t="s">
        <v>1059</v>
      </c>
      <c r="Q484" s="160" t="str">
        <f>CONCATENATE(100+(10*Data!E25)," ft.")</f>
        <v>110 ft.</v>
      </c>
      <c r="R484" s="162" t="str">
        <f>CONCATENATE("Targets: ",FLOOR(Data!E25/3,1)," living creatures within 30 ft. of each other")</f>
        <v>Targets: 0 living creatures within 30 ft. of each other</v>
      </c>
      <c r="S484" s="160" t="s">
        <v>1087</v>
      </c>
      <c r="T484" s="160" t="s">
        <v>1115</v>
      </c>
      <c r="U484" s="160" t="s">
        <v>805</v>
      </c>
      <c r="V484" s="160" t="s">
        <v>1057</v>
      </c>
    </row>
    <row r="485" spans="2:22" ht="11.25">
      <c r="B485" s="161" t="s">
        <v>1057</v>
      </c>
      <c r="C485" s="161" t="s">
        <v>1057</v>
      </c>
      <c r="D485" s="161" t="s">
        <v>1057</v>
      </c>
      <c r="E485" s="161" t="s">
        <v>1057</v>
      </c>
      <c r="F485" s="161" t="s">
        <v>1057</v>
      </c>
      <c r="G485" s="161">
        <v>3</v>
      </c>
      <c r="H485" s="161" t="s">
        <v>1057</v>
      </c>
      <c r="I485" s="161" t="s">
        <v>1057</v>
      </c>
      <c r="J485" s="161">
        <v>3</v>
      </c>
      <c r="K485" s="161">
        <v>3</v>
      </c>
      <c r="L485" s="160" t="s">
        <v>1057</v>
      </c>
      <c r="M485" s="160" t="s">
        <v>438</v>
      </c>
      <c r="N485" s="160" t="s">
        <v>815</v>
      </c>
      <c r="O485" s="160" t="s">
        <v>1064</v>
      </c>
      <c r="P485" s="160" t="s">
        <v>1059</v>
      </c>
      <c r="Q485" s="160" t="str">
        <f>CONCATENATE(400+(40*Data!E25)," ft.")</f>
        <v>440 ft.</v>
      </c>
      <c r="R485" s="162" t="s">
        <v>439</v>
      </c>
      <c r="S485" s="160" t="str">
        <f>CONCATENATE(Data!E25," rnds")</f>
        <v>1 rnds</v>
      </c>
      <c r="T485" s="160" t="s">
        <v>1061</v>
      </c>
      <c r="U485" s="160" t="s">
        <v>801</v>
      </c>
      <c r="V485" s="160" t="s">
        <v>1057</v>
      </c>
    </row>
    <row r="486" spans="2:22" ht="11.25">
      <c r="B486" s="161" t="s">
        <v>1057</v>
      </c>
      <c r="C486" s="161" t="s">
        <v>1057</v>
      </c>
      <c r="D486" s="161">
        <v>3</v>
      </c>
      <c r="E486" s="161" t="s">
        <v>1057</v>
      </c>
      <c r="F486" s="161" t="s">
        <v>1057</v>
      </c>
      <c r="G486" s="161" t="s">
        <v>1057</v>
      </c>
      <c r="H486" s="161" t="s">
        <v>1057</v>
      </c>
      <c r="I486" s="161" t="s">
        <v>1057</v>
      </c>
      <c r="J486" s="161">
        <v>3</v>
      </c>
      <c r="K486" s="161">
        <v>3</v>
      </c>
      <c r="L486" s="160" t="s">
        <v>1057</v>
      </c>
      <c r="M486" s="160" t="s">
        <v>440</v>
      </c>
      <c r="N486" s="160" t="s">
        <v>811</v>
      </c>
      <c r="O486" s="160" t="s">
        <v>1091</v>
      </c>
      <c r="P486" s="160" t="s">
        <v>1059</v>
      </c>
      <c r="Q486" s="160" t="str">
        <f>CONCATENATE(25+(FLOOR(Data!E25/2,1)*5)," ft.")</f>
        <v>25 ft.</v>
      </c>
      <c r="R486" s="162" t="str">
        <f>CONCATENATE("Targets: ",Data!E25," creatures within 30 ft. of each other")</f>
        <v>Targets: 1 creatures within 30 ft. of each other</v>
      </c>
      <c r="S486" s="160" t="str">
        <f>CONCATENATE(Data!E25," rnds")</f>
        <v>1 rnds</v>
      </c>
      <c r="T486" s="160" t="s">
        <v>1141</v>
      </c>
      <c r="U486" s="160" t="s">
        <v>805</v>
      </c>
      <c r="V486" s="160" t="s">
        <v>1057</v>
      </c>
    </row>
    <row r="487" spans="2:22" ht="11.25">
      <c r="B487" s="161" t="s">
        <v>1057</v>
      </c>
      <c r="C487" s="161" t="s">
        <v>1057</v>
      </c>
      <c r="D487" s="161" t="s">
        <v>1057</v>
      </c>
      <c r="E487" s="161" t="s">
        <v>1057</v>
      </c>
      <c r="F487" s="161" t="s">
        <v>1057</v>
      </c>
      <c r="G487" s="161">
        <v>3</v>
      </c>
      <c r="H487" s="161" t="s">
        <v>1057</v>
      </c>
      <c r="I487" s="161">
        <v>2</v>
      </c>
      <c r="J487" s="161" t="s">
        <v>1057</v>
      </c>
      <c r="L487" s="160" t="s">
        <v>1057</v>
      </c>
      <c r="M487" s="160" t="s">
        <v>441</v>
      </c>
      <c r="N487" s="160" t="s">
        <v>811</v>
      </c>
      <c r="O487" s="160" t="s">
        <v>1071</v>
      </c>
      <c r="P487" s="160" t="s">
        <v>1407</v>
      </c>
      <c r="Q487" s="160" t="s">
        <v>799</v>
      </c>
      <c r="R487" s="162" t="str">
        <f>CONCATENATE("Target: Touched nonmagical circle of vine, rope, or thong with a ",2+(2*Data!E25)," ft. diameter")</f>
        <v>Target: Touched nonmagical circle of vine, rope, or thong with a 4 ft. diameter</v>
      </c>
      <c r="S487" s="160" t="s">
        <v>442</v>
      </c>
      <c r="T487" s="160" t="s">
        <v>1061</v>
      </c>
      <c r="U487" s="160" t="s">
        <v>801</v>
      </c>
      <c r="V487" s="160" t="s">
        <v>1057</v>
      </c>
    </row>
    <row r="488" spans="2:22" ht="11.25">
      <c r="B488" s="161" t="s">
        <v>1057</v>
      </c>
      <c r="C488" s="161" t="s">
        <v>1057</v>
      </c>
      <c r="D488" s="161" t="s">
        <v>1057</v>
      </c>
      <c r="E488" s="161" t="s">
        <v>1057</v>
      </c>
      <c r="F488" s="161" t="s">
        <v>1057</v>
      </c>
      <c r="G488" s="161">
        <v>2</v>
      </c>
      <c r="H488" s="161" t="s">
        <v>1057</v>
      </c>
      <c r="I488" s="161" t="s">
        <v>1057</v>
      </c>
      <c r="J488" s="161" t="s">
        <v>1057</v>
      </c>
      <c r="K488" s="161" t="s">
        <v>1057</v>
      </c>
      <c r="L488" s="160" t="s">
        <v>444</v>
      </c>
      <c r="M488" s="160" t="s">
        <v>443</v>
      </c>
      <c r="N488" s="160" t="s">
        <v>811</v>
      </c>
      <c r="O488" s="160" t="s">
        <v>1071</v>
      </c>
      <c r="P488" s="160" t="s">
        <v>1059</v>
      </c>
      <c r="Q488" s="160" t="str">
        <f>CONCATENATE(25+(FLOOR(Data!E25/2,1)*5)," ft.")</f>
        <v>25 ft.</v>
      </c>
      <c r="R488" s="162" t="str">
        <f>CONCATENATE("Area: ",Data!E25*10," ft. square; see text")</f>
        <v>Area: 10 ft. square; see text</v>
      </c>
      <c r="S488" s="160" t="s">
        <v>1069</v>
      </c>
      <c r="T488" s="160" t="s">
        <v>1061</v>
      </c>
      <c r="U488" s="160" t="s">
        <v>801</v>
      </c>
      <c r="V488" s="160" t="s">
        <v>1057</v>
      </c>
    </row>
    <row r="489" spans="2:22" ht="11.25">
      <c r="B489" s="161" t="s">
        <v>1057</v>
      </c>
      <c r="C489" s="161" t="s">
        <v>1057</v>
      </c>
      <c r="D489" s="161" t="s">
        <v>1057</v>
      </c>
      <c r="E489" s="161" t="s">
        <v>1057</v>
      </c>
      <c r="F489" s="161" t="s">
        <v>1057</v>
      </c>
      <c r="G489" s="161" t="s">
        <v>1057</v>
      </c>
      <c r="H489" s="161" t="s">
        <v>1057</v>
      </c>
      <c r="I489" s="161" t="s">
        <v>1057</v>
      </c>
      <c r="J489" s="161">
        <v>4</v>
      </c>
      <c r="K489" s="161">
        <v>4</v>
      </c>
      <c r="L489" s="160" t="s">
        <v>1057</v>
      </c>
      <c r="M489" s="160" t="s">
        <v>445</v>
      </c>
      <c r="N489" s="160" t="s">
        <v>815</v>
      </c>
      <c r="O489" s="160" t="s">
        <v>1091</v>
      </c>
      <c r="P489" s="160" t="s">
        <v>1059</v>
      </c>
      <c r="Q489" s="160" t="str">
        <f>CONCATENATE(100+(10*Data!E25)," ft.")</f>
        <v>110 ft.</v>
      </c>
      <c r="R489" s="162" t="s">
        <v>1065</v>
      </c>
      <c r="S489" s="160" t="str">
        <f>CONCATENATE(Data!E25," min.")</f>
        <v>1 min.</v>
      </c>
      <c r="T489" s="160" t="s">
        <v>1061</v>
      </c>
      <c r="U489" s="160" t="s">
        <v>801</v>
      </c>
      <c r="V489" s="160" t="s">
        <v>1057</v>
      </c>
    </row>
    <row r="490" spans="2:22" ht="11.25">
      <c r="B490" s="161" t="s">
        <v>1057</v>
      </c>
      <c r="C490" s="161" t="s">
        <v>1057</v>
      </c>
      <c r="D490" s="161">
        <v>5</v>
      </c>
      <c r="E490" s="161" t="s">
        <v>1057</v>
      </c>
      <c r="F490" s="161" t="s">
        <v>1057</v>
      </c>
      <c r="G490" s="161" t="s">
        <v>1057</v>
      </c>
      <c r="H490" s="161" t="s">
        <v>1057</v>
      </c>
      <c r="I490" s="161" t="s">
        <v>1057</v>
      </c>
      <c r="J490" s="161" t="s">
        <v>1057</v>
      </c>
      <c r="K490" s="161" t="s">
        <v>1057</v>
      </c>
      <c r="L490" s="160" t="s">
        <v>1057</v>
      </c>
      <c r="M490" s="160" t="s">
        <v>446</v>
      </c>
      <c r="N490" s="160" t="s">
        <v>804</v>
      </c>
      <c r="O490" s="160" t="s">
        <v>1067</v>
      </c>
      <c r="P490" s="160" t="s">
        <v>1059</v>
      </c>
      <c r="Q490" s="160" t="str">
        <f>CONCATENATE(100+(10*Data!E25)," ft.")</f>
        <v>110 ft.</v>
      </c>
      <c r="R490" s="162" t="s">
        <v>447</v>
      </c>
      <c r="S490" s="160" t="str">
        <f>CONCATENATE(Data!E25," rnds")</f>
        <v>1 rnds</v>
      </c>
      <c r="T490" s="160" t="s">
        <v>1141</v>
      </c>
      <c r="U490" s="160" t="s">
        <v>805</v>
      </c>
      <c r="V490" s="160" t="s">
        <v>1057</v>
      </c>
    </row>
    <row r="491" spans="2:22" ht="11.25">
      <c r="B491" s="161" t="s">
        <v>1057</v>
      </c>
      <c r="C491" s="161" t="s">
        <v>1057</v>
      </c>
      <c r="D491" s="161" t="s">
        <v>1057</v>
      </c>
      <c r="E491" s="161" t="s">
        <v>1057</v>
      </c>
      <c r="F491" s="161">
        <v>9</v>
      </c>
      <c r="G491" s="161" t="s">
        <v>1057</v>
      </c>
      <c r="H491" s="161" t="s">
        <v>1057</v>
      </c>
      <c r="I491" s="161" t="s">
        <v>1057</v>
      </c>
      <c r="J491" s="161">
        <v>9</v>
      </c>
      <c r="K491" s="161">
        <v>9</v>
      </c>
      <c r="L491" s="160" t="s">
        <v>1057</v>
      </c>
      <c r="M491" s="160" t="s">
        <v>448</v>
      </c>
      <c r="N491" s="160" t="s">
        <v>826</v>
      </c>
      <c r="O491" s="160" t="s">
        <v>1086</v>
      </c>
      <c r="P491" s="160" t="s">
        <v>1059</v>
      </c>
      <c r="Q491" s="160" t="str">
        <f>CONCATENATE(25+(FLOOR(Data!E25/2,1)*5)," ft.")</f>
        <v>25 ft.</v>
      </c>
      <c r="R491" s="162" t="s">
        <v>449</v>
      </c>
      <c r="S491" s="160" t="s">
        <v>800</v>
      </c>
      <c r="T491" s="160" t="s">
        <v>1141</v>
      </c>
      <c r="U491" s="160" t="s">
        <v>801</v>
      </c>
      <c r="V491" s="160" t="s">
        <v>1057</v>
      </c>
    </row>
    <row r="492" spans="2:22" ht="11.25">
      <c r="B492" s="161" t="s">
        <v>1057</v>
      </c>
      <c r="C492" s="161" t="s">
        <v>1057</v>
      </c>
      <c r="D492" s="161" t="s">
        <v>1057</v>
      </c>
      <c r="E492" s="161" t="s">
        <v>1057</v>
      </c>
      <c r="F492" s="161">
        <v>2</v>
      </c>
      <c r="G492" s="161" t="s">
        <v>1057</v>
      </c>
      <c r="H492" s="161">
        <v>2</v>
      </c>
      <c r="I492" s="161" t="s">
        <v>1057</v>
      </c>
      <c r="J492" s="161" t="s">
        <v>1057</v>
      </c>
      <c r="K492" s="161" t="s">
        <v>1057</v>
      </c>
      <c r="L492" s="160" t="s">
        <v>422</v>
      </c>
      <c r="M492" s="160" t="s">
        <v>872</v>
      </c>
      <c r="N492" s="160" t="s">
        <v>845</v>
      </c>
      <c r="O492" s="160" t="s">
        <v>1086</v>
      </c>
      <c r="P492" s="160" t="s">
        <v>1059</v>
      </c>
      <c r="Q492" s="160" t="str">
        <f>CONCATENATE(25+(FLOOR(Data!E25/2,1)*5)," ft.")</f>
        <v>25 ft.</v>
      </c>
      <c r="R492" s="162" t="s">
        <v>1144</v>
      </c>
      <c r="S492" s="160" t="str">
        <f>CONCATENATE(Data!E25," hours [D]")</f>
        <v>1 hours [D]</v>
      </c>
      <c r="T492" s="160" t="s">
        <v>1153</v>
      </c>
      <c r="U492" s="160" t="s">
        <v>1073</v>
      </c>
      <c r="V492" s="160" t="s">
        <v>80</v>
      </c>
    </row>
    <row r="493" spans="2:22" ht="11.25">
      <c r="B493" s="161" t="s">
        <v>1057</v>
      </c>
      <c r="C493" s="161" t="s">
        <v>1057</v>
      </c>
      <c r="D493" s="161">
        <v>3</v>
      </c>
      <c r="E493" s="161" t="s">
        <v>1057</v>
      </c>
      <c r="F493" s="161" t="s">
        <v>1057</v>
      </c>
      <c r="G493" s="161">
        <v>1</v>
      </c>
      <c r="H493" s="161" t="s">
        <v>1057</v>
      </c>
      <c r="I493" s="161">
        <v>1</v>
      </c>
      <c r="J493" s="161" t="s">
        <v>1057</v>
      </c>
      <c r="L493" s="160" t="s">
        <v>1057</v>
      </c>
      <c r="M493" s="160" t="s">
        <v>875</v>
      </c>
      <c r="N493" s="160" t="s">
        <v>822</v>
      </c>
      <c r="O493" s="160" t="s">
        <v>1067</v>
      </c>
      <c r="P493" s="160" t="s">
        <v>1059</v>
      </c>
      <c r="Q493" s="160" t="s">
        <v>817</v>
      </c>
      <c r="R493" s="162" t="s">
        <v>1084</v>
      </c>
      <c r="S493" s="160" t="str">
        <f>CONCATENATE(Data!E25," min.")</f>
        <v>1 min.</v>
      </c>
      <c r="T493" s="160" t="s">
        <v>1061</v>
      </c>
      <c r="U493" s="160" t="s">
        <v>801</v>
      </c>
      <c r="V493" s="160" t="s">
        <v>1057</v>
      </c>
    </row>
    <row r="494" spans="2:22" ht="11.25">
      <c r="B494" s="161" t="s">
        <v>1057</v>
      </c>
      <c r="C494" s="161" t="s">
        <v>1057</v>
      </c>
      <c r="D494" s="161" t="s">
        <v>1057</v>
      </c>
      <c r="E494" s="161" t="s">
        <v>1057</v>
      </c>
      <c r="F494" s="161">
        <v>3</v>
      </c>
      <c r="G494" s="161" t="s">
        <v>1057</v>
      </c>
      <c r="H494" s="161" t="s">
        <v>1057</v>
      </c>
      <c r="I494" s="161" t="s">
        <v>1057</v>
      </c>
      <c r="J494" s="161" t="s">
        <v>1057</v>
      </c>
      <c r="K494" s="161" t="s">
        <v>1057</v>
      </c>
      <c r="L494" s="160" t="s">
        <v>1057</v>
      </c>
      <c r="M494" s="160" t="s">
        <v>906</v>
      </c>
      <c r="N494" s="160" t="s">
        <v>826</v>
      </c>
      <c r="O494" s="160" t="s">
        <v>1071</v>
      </c>
      <c r="P494" s="160" t="s">
        <v>1118</v>
      </c>
      <c r="Q494" s="160" t="s">
        <v>1109</v>
      </c>
      <c r="R494" s="162" t="s">
        <v>451</v>
      </c>
      <c r="S494" s="160" t="str">
        <f>CONCATENATE(Data!E25," min.")</f>
        <v>1 min.</v>
      </c>
      <c r="T494" s="160" t="s">
        <v>1087</v>
      </c>
      <c r="U494" s="160" t="s">
        <v>801</v>
      </c>
      <c r="V494" s="160" t="s">
        <v>1057</v>
      </c>
    </row>
    <row r="495" spans="2:22" ht="11.25">
      <c r="B495" s="161" t="s">
        <v>1057</v>
      </c>
      <c r="C495" s="161" t="s">
        <v>1057</v>
      </c>
      <c r="D495" s="161" t="s">
        <v>1057</v>
      </c>
      <c r="E495" s="161" t="s">
        <v>1057</v>
      </c>
      <c r="F495" s="161" t="s">
        <v>1057</v>
      </c>
      <c r="G495" s="161">
        <v>3</v>
      </c>
      <c r="H495" s="161" t="s">
        <v>1057</v>
      </c>
      <c r="I495" s="161">
        <v>2</v>
      </c>
      <c r="J495" s="161" t="s">
        <v>1057</v>
      </c>
      <c r="K495" s="161" t="s">
        <v>1057</v>
      </c>
      <c r="L495" s="160" t="s">
        <v>1057</v>
      </c>
      <c r="M495" s="160" t="s">
        <v>907</v>
      </c>
      <c r="N495" s="160" t="s">
        <v>822</v>
      </c>
      <c r="O495" s="160" t="s">
        <v>1067</v>
      </c>
      <c r="P495" s="160" t="s">
        <v>1059</v>
      </c>
      <c r="Q495" s="160" t="s">
        <v>817</v>
      </c>
      <c r="R495" s="162" t="s">
        <v>1084</v>
      </c>
      <c r="S495" s="160" t="str">
        <f>CONCATENATE(Data!E25," min.")</f>
        <v>1 min.</v>
      </c>
      <c r="T495" s="160" t="s">
        <v>1061</v>
      </c>
      <c r="U495" s="160" t="s">
        <v>801</v>
      </c>
      <c r="V495" s="160" t="s">
        <v>1057</v>
      </c>
    </row>
    <row r="496" spans="2:22" ht="11.25">
      <c r="B496" s="161">
        <v>2</v>
      </c>
      <c r="C496" s="161" t="s">
        <v>1057</v>
      </c>
      <c r="D496" s="161" t="s">
        <v>1057</v>
      </c>
      <c r="E496" s="161" t="s">
        <v>1057</v>
      </c>
      <c r="F496" s="161" t="s">
        <v>1057</v>
      </c>
      <c r="G496" s="161" t="s">
        <v>1057</v>
      </c>
      <c r="H496" s="161" t="s">
        <v>1057</v>
      </c>
      <c r="I496" s="161" t="s">
        <v>1057</v>
      </c>
      <c r="J496" s="161">
        <v>2</v>
      </c>
      <c r="K496" s="161">
        <v>2</v>
      </c>
      <c r="L496" s="160" t="s">
        <v>1057</v>
      </c>
      <c r="M496" s="160" t="s">
        <v>384</v>
      </c>
      <c r="N496" s="160" t="s">
        <v>1162</v>
      </c>
      <c r="O496" s="160" t="s">
        <v>1067</v>
      </c>
      <c r="P496" s="160" t="s">
        <v>1059</v>
      </c>
      <c r="Q496" s="160" t="str">
        <f>CONCATENATE(25+(FLOOR(Data!E25/2,1)*5)," ft.")</f>
        <v>25 ft.</v>
      </c>
      <c r="R496" s="162" t="s">
        <v>385</v>
      </c>
      <c r="S496" s="160" t="s">
        <v>1069</v>
      </c>
      <c r="T496" s="160" t="s">
        <v>1061</v>
      </c>
      <c r="U496" s="160" t="s">
        <v>805</v>
      </c>
      <c r="V496" s="160" t="s">
        <v>1057</v>
      </c>
    </row>
    <row r="497" spans="2:22" ht="11.25">
      <c r="B497" s="161" t="s">
        <v>1057</v>
      </c>
      <c r="C497" s="161" t="s">
        <v>1057</v>
      </c>
      <c r="D497" s="161" t="s">
        <v>1057</v>
      </c>
      <c r="E497" s="161" t="s">
        <v>1057</v>
      </c>
      <c r="F497" s="161">
        <v>4</v>
      </c>
      <c r="G497" s="161" t="s">
        <v>1057</v>
      </c>
      <c r="H497" s="161" t="s">
        <v>1057</v>
      </c>
      <c r="I497" s="161" t="s">
        <v>1057</v>
      </c>
      <c r="J497" s="161" t="s">
        <v>1057</v>
      </c>
      <c r="K497" s="161" t="s">
        <v>1057</v>
      </c>
      <c r="L497" s="160" t="s">
        <v>454</v>
      </c>
      <c r="M497" s="160" t="s">
        <v>930</v>
      </c>
      <c r="N497" s="160" t="s">
        <v>845</v>
      </c>
      <c r="O497" s="160" t="s">
        <v>1071</v>
      </c>
      <c r="P497" s="160" t="s">
        <v>1059</v>
      </c>
      <c r="Q497" s="160" t="s">
        <v>799</v>
      </c>
      <c r="R497" s="162" t="s">
        <v>1152</v>
      </c>
      <c r="S497" s="160" t="str">
        <f>CONCATENATE(Data!E25*10," min.")</f>
        <v>10 min.</v>
      </c>
      <c r="T497" s="160" t="s">
        <v>1153</v>
      </c>
      <c r="U497" s="160" t="s">
        <v>1073</v>
      </c>
      <c r="V497" s="160" t="s">
        <v>1057</v>
      </c>
    </row>
    <row r="498" spans="2:22" ht="11.25">
      <c r="B498" s="161" t="s">
        <v>1057</v>
      </c>
      <c r="C498" s="161" t="s">
        <v>1057</v>
      </c>
      <c r="D498" s="161" t="s">
        <v>1057</v>
      </c>
      <c r="E498" s="161" t="s">
        <v>1057</v>
      </c>
      <c r="F498" s="161">
        <v>8</v>
      </c>
      <c r="G498" s="161" t="s">
        <v>1057</v>
      </c>
      <c r="H498" s="161" t="s">
        <v>1057</v>
      </c>
      <c r="I498" s="161" t="s">
        <v>1057</v>
      </c>
      <c r="J498" s="161" t="s">
        <v>1057</v>
      </c>
      <c r="K498" s="161" t="s">
        <v>1057</v>
      </c>
      <c r="L498" s="160" t="s">
        <v>1057</v>
      </c>
      <c r="M498" s="160" t="s">
        <v>455</v>
      </c>
      <c r="N498" s="160" t="s">
        <v>845</v>
      </c>
      <c r="O498" s="160" t="s">
        <v>1071</v>
      </c>
      <c r="P498" s="160" t="s">
        <v>1059</v>
      </c>
      <c r="Q498" s="160" t="s">
        <v>799</v>
      </c>
      <c r="R498" s="162" t="s">
        <v>1152</v>
      </c>
      <c r="S498" s="160" t="str">
        <f>CONCATENATE(Data!E25*10," min.")</f>
        <v>10 min.</v>
      </c>
      <c r="T498" s="160" t="s">
        <v>1153</v>
      </c>
      <c r="U498" s="160" t="s">
        <v>1073</v>
      </c>
      <c r="V498" s="160" t="s">
        <v>1057</v>
      </c>
    </row>
    <row r="499" spans="2:22" ht="11.25">
      <c r="B499" s="161" t="s">
        <v>1057</v>
      </c>
      <c r="C499" s="161" t="s">
        <v>1057</v>
      </c>
      <c r="D499" s="161" t="s">
        <v>1057</v>
      </c>
      <c r="E499" s="161" t="s">
        <v>1057</v>
      </c>
      <c r="F499" s="161">
        <v>5</v>
      </c>
      <c r="G499" s="161" t="s">
        <v>1057</v>
      </c>
      <c r="H499" s="161" t="s">
        <v>1057</v>
      </c>
      <c r="I499" s="161" t="s">
        <v>1057</v>
      </c>
      <c r="J499" s="161" t="s">
        <v>1057</v>
      </c>
      <c r="K499" s="161" t="s">
        <v>1057</v>
      </c>
      <c r="L499" s="160" t="s">
        <v>457</v>
      </c>
      <c r="M499" s="160" t="s">
        <v>456</v>
      </c>
      <c r="N499" s="160" t="s">
        <v>845</v>
      </c>
      <c r="O499" s="160" t="s">
        <v>1071</v>
      </c>
      <c r="P499" s="160" t="s">
        <v>1059</v>
      </c>
      <c r="Q499" s="160" t="s">
        <v>799</v>
      </c>
      <c r="R499" s="162" t="s">
        <v>1152</v>
      </c>
      <c r="S499" s="160" t="str">
        <f>CONCATENATE(Data!E25," min.")</f>
        <v>1 min.</v>
      </c>
      <c r="T499" s="160" t="s">
        <v>1153</v>
      </c>
      <c r="U499" s="160" t="s">
        <v>1073</v>
      </c>
      <c r="V499" s="160" t="s">
        <v>1057</v>
      </c>
    </row>
    <row r="500" spans="2:22" ht="11.25">
      <c r="B500" s="161" t="s">
        <v>1057</v>
      </c>
      <c r="C500" s="161" t="s">
        <v>1057</v>
      </c>
      <c r="D500" s="161" t="s">
        <v>1057</v>
      </c>
      <c r="E500" s="161" t="s">
        <v>1057</v>
      </c>
      <c r="F500" s="161" t="s">
        <v>1057</v>
      </c>
      <c r="G500" s="161" t="s">
        <v>1057</v>
      </c>
      <c r="H500" s="161" t="s">
        <v>1057</v>
      </c>
      <c r="I500" s="161" t="s">
        <v>1057</v>
      </c>
      <c r="J500" s="161">
        <v>7</v>
      </c>
      <c r="K500" s="161">
        <v>7</v>
      </c>
      <c r="L500" s="160" t="s">
        <v>459</v>
      </c>
      <c r="M500" s="160" t="s">
        <v>458</v>
      </c>
      <c r="N500" s="160" t="s">
        <v>845</v>
      </c>
      <c r="O500" s="160" t="s">
        <v>1064</v>
      </c>
      <c r="P500" s="160" t="s">
        <v>1059</v>
      </c>
      <c r="Q500" s="160" t="s">
        <v>817</v>
      </c>
      <c r="R500" s="162" t="s">
        <v>1084</v>
      </c>
      <c r="S500" s="160" t="str">
        <f>CONCATENATE("Until expended or ",Data!E25*10," min.")</f>
        <v>Until expended or 10 min.</v>
      </c>
      <c r="T500" s="160" t="s">
        <v>1061</v>
      </c>
      <c r="U500" s="160" t="s">
        <v>801</v>
      </c>
      <c r="V500" s="160" t="s">
        <v>1057</v>
      </c>
    </row>
    <row r="501" spans="2:22" ht="11.25">
      <c r="B501" s="161" t="s">
        <v>1057</v>
      </c>
      <c r="C501" s="161" t="s">
        <v>1057</v>
      </c>
      <c r="D501" s="161" t="s">
        <v>1057</v>
      </c>
      <c r="E501" s="161" t="s">
        <v>1057</v>
      </c>
      <c r="F501" s="161" t="s">
        <v>1057</v>
      </c>
      <c r="G501" s="161">
        <v>6</v>
      </c>
      <c r="H501" s="161" t="s">
        <v>1057</v>
      </c>
      <c r="I501" s="161" t="s">
        <v>1057</v>
      </c>
      <c r="J501" s="161" t="s">
        <v>1057</v>
      </c>
      <c r="K501" s="161" t="s">
        <v>1057</v>
      </c>
      <c r="L501" s="160" t="s">
        <v>1057</v>
      </c>
      <c r="M501" s="160" t="s">
        <v>460</v>
      </c>
      <c r="N501" s="160" t="s">
        <v>811</v>
      </c>
      <c r="O501" s="160" t="s">
        <v>1086</v>
      </c>
      <c r="P501" s="160" t="s">
        <v>1118</v>
      </c>
      <c r="Q501" s="160" t="s">
        <v>799</v>
      </c>
      <c r="R501" s="162" t="s">
        <v>461</v>
      </c>
      <c r="S501" s="160" t="s">
        <v>1391</v>
      </c>
      <c r="T501" s="160" t="s">
        <v>1169</v>
      </c>
      <c r="U501" s="160" t="s">
        <v>1217</v>
      </c>
      <c r="V501" s="160" t="s">
        <v>1057</v>
      </c>
    </row>
    <row r="502" spans="2:22" ht="11.25">
      <c r="B502" s="161">
        <v>2</v>
      </c>
      <c r="C502" s="161" t="s">
        <v>1057</v>
      </c>
      <c r="D502" s="161">
        <v>3</v>
      </c>
      <c r="E502" s="161" t="s">
        <v>1057</v>
      </c>
      <c r="F502" s="161" t="s">
        <v>1057</v>
      </c>
      <c r="G502" s="161" t="s">
        <v>1057</v>
      </c>
      <c r="H502" s="161" t="s">
        <v>1057</v>
      </c>
      <c r="I502" s="161" t="s">
        <v>1057</v>
      </c>
      <c r="J502" s="161">
        <v>2</v>
      </c>
      <c r="K502" s="161">
        <v>2</v>
      </c>
      <c r="L502" s="160" t="s">
        <v>1057</v>
      </c>
      <c r="M502" s="160" t="s">
        <v>400</v>
      </c>
      <c r="N502" s="160" t="s">
        <v>822</v>
      </c>
      <c r="O502" s="160" t="s">
        <v>1091</v>
      </c>
      <c r="P502" s="160" t="s">
        <v>1059</v>
      </c>
      <c r="Q502" s="160" t="s">
        <v>817</v>
      </c>
      <c r="R502" s="162" t="s">
        <v>1084</v>
      </c>
      <c r="S502" s="160" t="str">
        <f>CONCATENATE(Data!E25*10," min. [D]")</f>
        <v>10 min. [D]</v>
      </c>
      <c r="T502" s="160" t="s">
        <v>1061</v>
      </c>
      <c r="U502" s="160" t="s">
        <v>801</v>
      </c>
      <c r="V502" s="160" t="s">
        <v>1057</v>
      </c>
    </row>
    <row r="503" spans="2:22" ht="11.25">
      <c r="B503" s="161" t="s">
        <v>1057</v>
      </c>
      <c r="C503" s="161" t="s">
        <v>1057</v>
      </c>
      <c r="D503" s="161" t="s">
        <v>1057</v>
      </c>
      <c r="E503" s="161" t="s">
        <v>1057</v>
      </c>
      <c r="F503" s="161" t="s">
        <v>1057</v>
      </c>
      <c r="G503" s="161">
        <v>3</v>
      </c>
      <c r="H503" s="161" t="s">
        <v>1057</v>
      </c>
      <c r="I503" s="161">
        <v>2</v>
      </c>
      <c r="J503" s="161" t="s">
        <v>1057</v>
      </c>
      <c r="K503" s="161" t="s">
        <v>1057</v>
      </c>
      <c r="L503" s="160" t="s">
        <v>1057</v>
      </c>
      <c r="M503" s="160" t="s">
        <v>463</v>
      </c>
      <c r="N503" s="160" t="s">
        <v>811</v>
      </c>
      <c r="O503" s="160" t="s">
        <v>1071</v>
      </c>
      <c r="P503" s="160" t="s">
        <v>1059</v>
      </c>
      <c r="Q503" s="160" t="str">
        <f>CONCATENATE(100+(10*Data!E25)," ft.")</f>
        <v>110 ft.</v>
      </c>
      <c r="R503" s="162" t="str">
        <f>CONCATENATE("Area: ",Data!E25," 20-ft. squares")</f>
        <v>Area: 1 20-ft. squares</v>
      </c>
      <c r="S503" s="160" t="str">
        <f>CONCATENATE(Data!E25," hours [D]")</f>
        <v>1 hours [D]</v>
      </c>
      <c r="T503" s="160" t="s">
        <v>464</v>
      </c>
      <c r="U503" s="160" t="s">
        <v>805</v>
      </c>
      <c r="V503" s="160" t="s">
        <v>1057</v>
      </c>
    </row>
    <row r="504" spans="2:22" ht="11.25">
      <c r="B504" s="161" t="s">
        <v>1057</v>
      </c>
      <c r="C504" s="161" t="s">
        <v>1057</v>
      </c>
      <c r="D504" s="161" t="s">
        <v>1057</v>
      </c>
      <c r="E504" s="161" t="s">
        <v>1057</v>
      </c>
      <c r="F504" s="161" t="s">
        <v>1057</v>
      </c>
      <c r="G504" s="161">
        <v>4</v>
      </c>
      <c r="H504" s="161" t="s">
        <v>1057</v>
      </c>
      <c r="I504" s="161" t="s">
        <v>1057</v>
      </c>
      <c r="J504" s="161" t="s">
        <v>1057</v>
      </c>
      <c r="K504" s="161" t="s">
        <v>1057</v>
      </c>
      <c r="L504" s="160" t="s">
        <v>466</v>
      </c>
      <c r="M504" s="160" t="s">
        <v>465</v>
      </c>
      <c r="N504" s="160" t="s">
        <v>811</v>
      </c>
      <c r="O504" s="160" t="s">
        <v>1071</v>
      </c>
      <c r="P504" s="160" t="s">
        <v>1059</v>
      </c>
      <c r="Q504" s="160" t="str">
        <f>CONCATENATE(100+(10*Data!E25)," ft.")</f>
        <v>110 ft.</v>
      </c>
      <c r="R504" s="162" t="str">
        <f>CONCATENATE("Area: ",Data!E25," 20-ft. squares")</f>
        <v>Area: 1 20-ft. squares</v>
      </c>
      <c r="S504" s="160" t="str">
        <f>CONCATENATE(Data!E25," hours [D]")</f>
        <v>1 hours [D]</v>
      </c>
      <c r="T504" s="160" t="s">
        <v>464</v>
      </c>
      <c r="U504" s="160" t="s">
        <v>805</v>
      </c>
      <c r="V504" s="160" t="s">
        <v>1057</v>
      </c>
    </row>
    <row r="505" spans="2:22" ht="11.25">
      <c r="B505" s="161" t="s">
        <v>1057</v>
      </c>
      <c r="C505" s="161" t="s">
        <v>1057</v>
      </c>
      <c r="D505" s="161">
        <v>2</v>
      </c>
      <c r="E505" s="161" t="s">
        <v>1057</v>
      </c>
      <c r="F505" s="161">
        <v>2</v>
      </c>
      <c r="G505" s="161" t="s">
        <v>1057</v>
      </c>
      <c r="H505" s="161" t="s">
        <v>1057</v>
      </c>
      <c r="I505" s="161" t="s">
        <v>1057</v>
      </c>
      <c r="J505" s="161" t="s">
        <v>1057</v>
      </c>
      <c r="K505" s="161" t="s">
        <v>1057</v>
      </c>
      <c r="L505" s="160" t="s">
        <v>1057</v>
      </c>
      <c r="M505" s="160" t="s">
        <v>873</v>
      </c>
      <c r="N505" s="160" t="s">
        <v>1179</v>
      </c>
      <c r="O505" s="160" t="s">
        <v>1067</v>
      </c>
      <c r="P505" s="160" t="s">
        <v>1059</v>
      </c>
      <c r="Q505" s="160" t="str">
        <f>CONCATENATE(400+(40*Data!E25)," ft.")</f>
        <v>440 ft.</v>
      </c>
      <c r="R505" s="162" t="s">
        <v>429</v>
      </c>
      <c r="S505" s="160" t="str">
        <f>CONCATENATE(Data!E25," min. [D]")</f>
        <v>1 min. [D]</v>
      </c>
      <c r="T505" s="160" t="s">
        <v>1087</v>
      </c>
      <c r="U505" s="160" t="s">
        <v>1087</v>
      </c>
      <c r="V505" s="160" t="s">
        <v>1057</v>
      </c>
    </row>
    <row r="506" spans="2:22" ht="11.25">
      <c r="B506" s="161" t="s">
        <v>1057</v>
      </c>
      <c r="C506" s="161" t="s">
        <v>1057</v>
      </c>
      <c r="D506" s="161" t="s">
        <v>1057</v>
      </c>
      <c r="E506" s="161" t="s">
        <v>1057</v>
      </c>
      <c r="F506" s="161" t="s">
        <v>1057</v>
      </c>
      <c r="G506" s="161" t="s">
        <v>1057</v>
      </c>
      <c r="H506" s="161" t="s">
        <v>1057</v>
      </c>
      <c r="I506" s="161" t="s">
        <v>1057</v>
      </c>
      <c r="J506" s="161">
        <v>7</v>
      </c>
      <c r="K506" s="161">
        <v>7</v>
      </c>
      <c r="L506" s="160" t="s">
        <v>1057</v>
      </c>
      <c r="M506" s="160" t="s">
        <v>469</v>
      </c>
      <c r="N506" s="160" t="s">
        <v>811</v>
      </c>
      <c r="O506" s="160" t="s">
        <v>1091</v>
      </c>
      <c r="P506" s="160" t="s">
        <v>1108</v>
      </c>
      <c r="Q506" s="160" t="s">
        <v>799</v>
      </c>
      <c r="R506" s="162" t="s">
        <v>1152</v>
      </c>
      <c r="S506" s="160" t="str">
        <f>CONCATENATE(Data!E25," hours [D]")</f>
        <v>1 hours [D]</v>
      </c>
      <c r="T506" s="160" t="s">
        <v>1153</v>
      </c>
      <c r="U506" s="160" t="s">
        <v>1073</v>
      </c>
      <c r="V506" s="160" t="s">
        <v>1057</v>
      </c>
    </row>
    <row r="507" spans="2:22" ht="11.25">
      <c r="B507" s="161" t="s">
        <v>1057</v>
      </c>
      <c r="C507" s="161" t="s">
        <v>1057</v>
      </c>
      <c r="D507" s="161">
        <v>2</v>
      </c>
      <c r="E507" s="161" t="s">
        <v>1057</v>
      </c>
      <c r="F507" s="161">
        <v>2</v>
      </c>
      <c r="G507" s="161" t="s">
        <v>1057</v>
      </c>
      <c r="H507" s="161" t="s">
        <v>1057</v>
      </c>
      <c r="I507" s="161" t="s">
        <v>1057</v>
      </c>
      <c r="J507" s="161" t="s">
        <v>1057</v>
      </c>
      <c r="K507" s="161" t="s">
        <v>1057</v>
      </c>
      <c r="L507" s="160" t="s">
        <v>1057</v>
      </c>
      <c r="M507" s="160" t="s">
        <v>874</v>
      </c>
      <c r="N507" s="160" t="s">
        <v>1162</v>
      </c>
      <c r="O507" s="160" t="s">
        <v>1077</v>
      </c>
      <c r="P507" s="160" t="s">
        <v>1059</v>
      </c>
      <c r="Q507" s="160" t="str">
        <f>CONCATENATE(25+(FLOOR(Data!E25/2,1)*5)," ft.")</f>
        <v>25 ft.</v>
      </c>
      <c r="R507" s="162" t="s">
        <v>450</v>
      </c>
      <c r="S507" s="160" t="s">
        <v>1069</v>
      </c>
      <c r="T507" s="160" t="s">
        <v>1306</v>
      </c>
      <c r="U507" s="160" t="s">
        <v>805</v>
      </c>
      <c r="V507" s="160" t="s">
        <v>1057</v>
      </c>
    </row>
    <row r="508" spans="2:22" ht="11.25">
      <c r="B508" s="161" t="s">
        <v>1057</v>
      </c>
      <c r="C508" s="161" t="s">
        <v>1057</v>
      </c>
      <c r="D508" s="161" t="s">
        <v>1057</v>
      </c>
      <c r="E508" s="161" t="s">
        <v>1057</v>
      </c>
      <c r="F508" s="161" t="s">
        <v>1057</v>
      </c>
      <c r="G508" s="161" t="s">
        <v>1057</v>
      </c>
      <c r="H508" s="161" t="s">
        <v>1057</v>
      </c>
      <c r="I508" s="161" t="s">
        <v>1057</v>
      </c>
      <c r="J508" s="161">
        <v>3</v>
      </c>
      <c r="K508" s="161">
        <v>3</v>
      </c>
      <c r="L508" s="160" t="s">
        <v>1057</v>
      </c>
      <c r="M508" s="160" t="s">
        <v>470</v>
      </c>
      <c r="N508" s="160" t="s">
        <v>815</v>
      </c>
      <c r="O508" s="160" t="s">
        <v>1091</v>
      </c>
      <c r="P508" s="160" t="s">
        <v>1059</v>
      </c>
      <c r="Q508" s="160" t="str">
        <f>CONCATENATE(100+(10*Data!E25)," ft.")</f>
        <v>110 ft.</v>
      </c>
      <c r="R508" s="162" t="s">
        <v>1232</v>
      </c>
      <c r="S508" s="160" t="str">
        <f>CONCATENATE(Data!E25," rnds")</f>
        <v>1 rnds</v>
      </c>
      <c r="T508" s="160" t="s">
        <v>1087</v>
      </c>
      <c r="U508" s="160" t="s">
        <v>801</v>
      </c>
      <c r="V508" s="160" t="s">
        <v>1057</v>
      </c>
    </row>
    <row r="509" spans="2:22" ht="11.25">
      <c r="B509" s="161" t="s">
        <v>1057</v>
      </c>
      <c r="C509" s="161" t="s">
        <v>1057</v>
      </c>
      <c r="D509" s="161" t="s">
        <v>1057</v>
      </c>
      <c r="E509" s="161" t="s">
        <v>1057</v>
      </c>
      <c r="F509" s="161">
        <v>3</v>
      </c>
      <c r="G509" s="161">
        <v>3</v>
      </c>
      <c r="H509" s="161" t="s">
        <v>1057</v>
      </c>
      <c r="I509" s="161" t="s">
        <v>1057</v>
      </c>
      <c r="J509" s="161">
        <v>4</v>
      </c>
      <c r="K509" s="161">
        <v>4</v>
      </c>
      <c r="L509" s="160" t="s">
        <v>471</v>
      </c>
      <c r="M509" s="160" t="s">
        <v>908</v>
      </c>
      <c r="N509" s="160" t="s">
        <v>811</v>
      </c>
      <c r="O509" s="160" t="s">
        <v>1064</v>
      </c>
      <c r="P509" s="160" t="s">
        <v>1059</v>
      </c>
      <c r="Q509" s="160" t="s">
        <v>799</v>
      </c>
      <c r="R509" s="162" t="str">
        <f>CONCATENATE("Target: Stone or stone object touched, up to ",Data!E25+10," cu. ft.")</f>
        <v>Target: Stone or stone object touched, up to 11 cu. ft.</v>
      </c>
      <c r="S509" s="160" t="s">
        <v>1069</v>
      </c>
      <c r="T509" s="160" t="s">
        <v>1061</v>
      </c>
      <c r="U509" s="160" t="s">
        <v>801</v>
      </c>
      <c r="V509" s="160" t="s">
        <v>1057</v>
      </c>
    </row>
    <row r="510" spans="2:22" ht="11.25">
      <c r="B510" s="161" t="s">
        <v>1057</v>
      </c>
      <c r="C510" s="161" t="s">
        <v>1057</v>
      </c>
      <c r="D510" s="161" t="s">
        <v>1057</v>
      </c>
      <c r="E510" s="161" t="s">
        <v>1057</v>
      </c>
      <c r="F510" s="161" t="s">
        <v>1057</v>
      </c>
      <c r="G510" s="161">
        <v>6</v>
      </c>
      <c r="H510" s="161" t="s">
        <v>1057</v>
      </c>
      <c r="I510" s="161" t="s">
        <v>1057</v>
      </c>
      <c r="J510" s="161" t="s">
        <v>1057</v>
      </c>
      <c r="K510" s="161" t="s">
        <v>1057</v>
      </c>
      <c r="L510" s="160" t="s">
        <v>1057</v>
      </c>
      <c r="M510" s="160" t="s">
        <v>472</v>
      </c>
      <c r="N510" s="160" t="s">
        <v>822</v>
      </c>
      <c r="O510" s="160" t="s">
        <v>1071</v>
      </c>
      <c r="P510" s="160" t="s">
        <v>1118</v>
      </c>
      <c r="Q510" s="160" t="s">
        <v>817</v>
      </c>
      <c r="R510" s="162" t="s">
        <v>1084</v>
      </c>
      <c r="S510" s="160" t="str">
        <f>CONCATENATE(Data!E25," min.")</f>
        <v>1 min.</v>
      </c>
      <c r="T510" s="160" t="s">
        <v>1061</v>
      </c>
      <c r="U510" s="160" t="s">
        <v>801</v>
      </c>
      <c r="V510" s="160" t="s">
        <v>1057</v>
      </c>
    </row>
    <row r="511" spans="2:22" ht="11.25">
      <c r="B511" s="161" t="s">
        <v>1057</v>
      </c>
      <c r="C511" s="161" t="s">
        <v>1057</v>
      </c>
      <c r="D511" s="161" t="s">
        <v>1057</v>
      </c>
      <c r="E511" s="161" t="s">
        <v>1057</v>
      </c>
      <c r="F511" s="161" t="s">
        <v>1057</v>
      </c>
      <c r="G511" s="161" t="s">
        <v>1057</v>
      </c>
      <c r="H511" s="161" t="s">
        <v>1057</v>
      </c>
      <c r="I511" s="161" t="s">
        <v>1057</v>
      </c>
      <c r="J511" s="161">
        <v>6</v>
      </c>
      <c r="K511" s="161">
        <v>6</v>
      </c>
      <c r="L511" s="160" t="s">
        <v>1057</v>
      </c>
      <c r="M511" s="160" t="s">
        <v>473</v>
      </c>
      <c r="N511" s="160" t="s">
        <v>811</v>
      </c>
      <c r="O511" s="160" t="s">
        <v>1091</v>
      </c>
      <c r="P511" s="160" t="s">
        <v>1059</v>
      </c>
      <c r="Q511" s="160" t="str">
        <f>CONCATENATE(100+(10*Data!E25)," ft.")</f>
        <v>110 ft.</v>
      </c>
      <c r="R511" s="162" t="s">
        <v>474</v>
      </c>
      <c r="S511" s="160" t="s">
        <v>1069</v>
      </c>
      <c r="T511" s="160" t="s">
        <v>1087</v>
      </c>
      <c r="U511" s="160" t="s">
        <v>805</v>
      </c>
      <c r="V511" s="160" t="s">
        <v>1057</v>
      </c>
    </row>
    <row r="512" spans="2:22" ht="11.25">
      <c r="B512" s="161">
        <v>4</v>
      </c>
      <c r="C512" s="161" t="s">
        <v>1057</v>
      </c>
      <c r="D512" s="161" t="s">
        <v>1057</v>
      </c>
      <c r="E512" s="161" t="s">
        <v>1057</v>
      </c>
      <c r="F512" s="161" t="s">
        <v>1057</v>
      </c>
      <c r="G512" s="161">
        <v>5</v>
      </c>
      <c r="H512" s="161" t="s">
        <v>1057</v>
      </c>
      <c r="I512" s="161" t="s">
        <v>1057</v>
      </c>
      <c r="J512" s="161">
        <v>4</v>
      </c>
      <c r="K512" s="161">
        <v>4</v>
      </c>
      <c r="L512" s="160" t="s">
        <v>476</v>
      </c>
      <c r="M512" s="160" t="s">
        <v>475</v>
      </c>
      <c r="N512" s="160" t="s">
        <v>845</v>
      </c>
      <c r="O512" s="160" t="s">
        <v>1091</v>
      </c>
      <c r="P512" s="160" t="s">
        <v>1059</v>
      </c>
      <c r="Q512" s="160" t="s">
        <v>799</v>
      </c>
      <c r="R512" s="162" t="s">
        <v>1152</v>
      </c>
      <c r="S512" s="160" t="str">
        <f>CONCATENATE(Data!E25*10," min. or until dis.")</f>
        <v>10 min. or until dis.</v>
      </c>
      <c r="T512" s="160" t="s">
        <v>1153</v>
      </c>
      <c r="U512" s="160" t="s">
        <v>1073</v>
      </c>
      <c r="V512" s="160" t="s">
        <v>1400</v>
      </c>
    </row>
    <row r="513" spans="2:22" ht="11.25">
      <c r="B513" s="161" t="s">
        <v>1057</v>
      </c>
      <c r="C513" s="161" t="s">
        <v>1057</v>
      </c>
      <c r="D513" s="161" t="s">
        <v>1057</v>
      </c>
      <c r="E513" s="161" t="s">
        <v>1057</v>
      </c>
      <c r="F513" s="161">
        <v>9</v>
      </c>
      <c r="G513" s="161">
        <v>9</v>
      </c>
      <c r="H513" s="161" t="s">
        <v>1057</v>
      </c>
      <c r="I513" s="161" t="s">
        <v>1057</v>
      </c>
      <c r="J513" s="161" t="s">
        <v>1057</v>
      </c>
      <c r="K513" s="161" t="s">
        <v>1057</v>
      </c>
      <c r="L513" s="160" t="s">
        <v>1057</v>
      </c>
      <c r="M513" s="160" t="s">
        <v>477</v>
      </c>
      <c r="N513" s="160" t="s">
        <v>815</v>
      </c>
      <c r="O513" s="160" t="s">
        <v>1067</v>
      </c>
      <c r="P513" s="160" t="s">
        <v>1108</v>
      </c>
      <c r="Q513" s="160" t="str">
        <f>CONCATENATE(400+(40*Data!E25)," ft.")</f>
        <v>440 ft.</v>
      </c>
      <c r="R513" s="162" t="s">
        <v>478</v>
      </c>
      <c r="S513" s="160" t="s">
        <v>479</v>
      </c>
      <c r="T513" s="160" t="s">
        <v>1087</v>
      </c>
      <c r="U513" s="160" t="s">
        <v>805</v>
      </c>
      <c r="V513" s="160" t="s">
        <v>1057</v>
      </c>
    </row>
    <row r="514" spans="2:22" ht="11.25">
      <c r="B514" s="161" t="s">
        <v>1057</v>
      </c>
      <c r="C514" s="161" t="s">
        <v>1057</v>
      </c>
      <c r="D514" s="161">
        <v>2</v>
      </c>
      <c r="E514" s="161" t="s">
        <v>1057</v>
      </c>
      <c r="F514" s="161" t="s">
        <v>1057</v>
      </c>
      <c r="G514" s="161" t="s">
        <v>1057</v>
      </c>
      <c r="H514" s="161" t="s">
        <v>1057</v>
      </c>
      <c r="I514" s="161" t="s">
        <v>1057</v>
      </c>
      <c r="J514" s="161">
        <v>3</v>
      </c>
      <c r="K514" s="161">
        <v>3</v>
      </c>
      <c r="L514" s="160" t="s">
        <v>1057</v>
      </c>
      <c r="M514" s="160" t="s">
        <v>480</v>
      </c>
      <c r="N514" s="160" t="s">
        <v>804</v>
      </c>
      <c r="O514" s="160" t="s">
        <v>1352</v>
      </c>
      <c r="P514" s="160" t="s">
        <v>1059</v>
      </c>
      <c r="Q514" s="160" t="str">
        <f>CONCATENATE(25+(FLOOR(Data!E25/2,1)*5)," ft.")</f>
        <v>25 ft.</v>
      </c>
      <c r="R514" s="162" t="s">
        <v>1156</v>
      </c>
      <c r="S514" s="160" t="str">
        <f>CONCATENATE(Data!E25," hours or until completed")</f>
        <v>1 hours or until completed</v>
      </c>
      <c r="T514" s="160" t="s">
        <v>1141</v>
      </c>
      <c r="U514" s="160" t="s">
        <v>805</v>
      </c>
      <c r="V514" s="160" t="s">
        <v>1057</v>
      </c>
    </row>
    <row r="515" spans="2:22" ht="11.25">
      <c r="B515" s="161" t="s">
        <v>1057</v>
      </c>
      <c r="C515" s="161" t="s">
        <v>1057</v>
      </c>
      <c r="D515" s="161">
        <v>5</v>
      </c>
      <c r="E515" s="161" t="s">
        <v>1057</v>
      </c>
      <c r="F515" s="161" t="s">
        <v>1057</v>
      </c>
      <c r="G515" s="161" t="s">
        <v>1057</v>
      </c>
      <c r="H515" s="161" t="s">
        <v>1057</v>
      </c>
      <c r="I515" s="161" t="s">
        <v>1057</v>
      </c>
      <c r="J515" s="161">
        <v>6</v>
      </c>
      <c r="K515" s="161">
        <v>6</v>
      </c>
      <c r="L515" s="160" t="s">
        <v>1057</v>
      </c>
      <c r="M515" s="160" t="s">
        <v>481</v>
      </c>
      <c r="N515" s="160" t="s">
        <v>804</v>
      </c>
      <c r="O515" s="160" t="s">
        <v>1352</v>
      </c>
      <c r="P515" s="160" t="s">
        <v>1059</v>
      </c>
      <c r="Q515" s="160" t="str">
        <f>CONCATENATE(100+(10*Data!E25)," ft.")</f>
        <v>110 ft.</v>
      </c>
      <c r="R515" s="162" t="str">
        <f>CONCATENATE("Targets: ",Data!E25," creatures within 30 ft. of each other")</f>
        <v>Targets: 1 creatures within 30 ft. of each other</v>
      </c>
      <c r="S515" s="160" t="str">
        <f>CONCATENATE(Data!E25," hours or until completed")</f>
        <v>1 hours or until completed</v>
      </c>
      <c r="T515" s="160" t="s">
        <v>1141</v>
      </c>
      <c r="U515" s="160" t="s">
        <v>805</v>
      </c>
      <c r="V515" s="160" t="s">
        <v>1057</v>
      </c>
    </row>
    <row r="516" spans="2:22" ht="11.25">
      <c r="B516" s="161" t="s">
        <v>1057</v>
      </c>
      <c r="C516" s="161" t="s">
        <v>1057</v>
      </c>
      <c r="D516" s="161">
        <v>0</v>
      </c>
      <c r="E516" s="161" t="s">
        <v>1057</v>
      </c>
      <c r="F516" s="161" t="s">
        <v>1057</v>
      </c>
      <c r="G516" s="161" t="s">
        <v>1057</v>
      </c>
      <c r="H516" s="161" t="s">
        <v>1057</v>
      </c>
      <c r="I516" s="161" t="s">
        <v>1057</v>
      </c>
      <c r="J516" s="161" t="s">
        <v>1057</v>
      </c>
      <c r="K516" s="161" t="s">
        <v>1057</v>
      </c>
      <c r="L516" s="160" t="s">
        <v>1057</v>
      </c>
      <c r="M516" s="160" t="s">
        <v>482</v>
      </c>
      <c r="N516" s="160" t="s">
        <v>815</v>
      </c>
      <c r="O516" s="160" t="s">
        <v>1067</v>
      </c>
      <c r="P516" s="160" t="s">
        <v>1108</v>
      </c>
      <c r="Q516" s="160" t="s">
        <v>1124</v>
      </c>
      <c r="R516" s="162" t="s">
        <v>483</v>
      </c>
      <c r="S516" s="160" t="str">
        <f>CONCATENATE(Data!E25," min. [D]")</f>
        <v>1 min. [D]</v>
      </c>
      <c r="T516" s="160" t="s">
        <v>1061</v>
      </c>
      <c r="U516" s="160" t="s">
        <v>801</v>
      </c>
      <c r="V516" s="160" t="s">
        <v>1057</v>
      </c>
    </row>
    <row r="517" spans="2:22" ht="11.25">
      <c r="B517" s="161" t="s">
        <v>1057</v>
      </c>
      <c r="C517" s="161" t="s">
        <v>1057</v>
      </c>
      <c r="D517" s="161" t="s">
        <v>1057</v>
      </c>
      <c r="E517" s="161" t="s">
        <v>1057</v>
      </c>
      <c r="F517" s="161">
        <v>2</v>
      </c>
      <c r="G517" s="161" t="s">
        <v>1057</v>
      </c>
      <c r="H517" s="161" t="s">
        <v>1057</v>
      </c>
      <c r="I517" s="161" t="s">
        <v>1057</v>
      </c>
      <c r="J517" s="161" t="s">
        <v>1057</v>
      </c>
      <c r="K517" s="161" t="s">
        <v>1057</v>
      </c>
      <c r="L517" s="160" t="s">
        <v>467</v>
      </c>
      <c r="M517" s="160" t="s">
        <v>876</v>
      </c>
      <c r="N517" s="160" t="s">
        <v>1162</v>
      </c>
      <c r="O517" s="160" t="s">
        <v>1071</v>
      </c>
      <c r="P517" s="160" t="s">
        <v>1059</v>
      </c>
      <c r="Q517" s="160" t="str">
        <f>CONCATENATE(100+(10*Data!E25)," ft.")</f>
        <v>110 ft.</v>
      </c>
      <c r="R517" s="162" t="s">
        <v>468</v>
      </c>
      <c r="S517" s="160" t="str">
        <f>CONCATENATE(Data!E25," rnds [D]")</f>
        <v>1 rnds [D]</v>
      </c>
      <c r="T517" s="160" t="s">
        <v>1061</v>
      </c>
      <c r="U517" s="160" t="s">
        <v>805</v>
      </c>
      <c r="V517" s="160" t="s">
        <v>1057</v>
      </c>
    </row>
    <row r="518" spans="2:22" ht="11.25">
      <c r="B518" s="161" t="s">
        <v>1057</v>
      </c>
      <c r="C518" s="161" t="s">
        <v>1057</v>
      </c>
      <c r="D518" s="161" t="s">
        <v>1057</v>
      </c>
      <c r="E518" s="161" t="s">
        <v>1057</v>
      </c>
      <c r="F518" s="161">
        <v>2</v>
      </c>
      <c r="G518" s="161" t="s">
        <v>1057</v>
      </c>
      <c r="H518" s="161" t="s">
        <v>1057</v>
      </c>
      <c r="I518" s="161" t="s">
        <v>1057</v>
      </c>
      <c r="J518" s="161" t="s">
        <v>1057</v>
      </c>
      <c r="K518" s="161" t="s">
        <v>1057</v>
      </c>
      <c r="L518" s="160" t="s">
        <v>1057</v>
      </c>
      <c r="M518" s="160" t="s">
        <v>931</v>
      </c>
      <c r="N518" s="160" t="s">
        <v>822</v>
      </c>
      <c r="O518" s="160" t="s">
        <v>1067</v>
      </c>
      <c r="P518" s="160" t="s">
        <v>1059</v>
      </c>
      <c r="Q518" s="160" t="s">
        <v>799</v>
      </c>
      <c r="R518" s="162" t="str">
        <f>CONCATENATE("Targets: ",FLOOR(Data!E25/3,1)," living creatures touched")</f>
        <v>Targets: 0 living creatures touched</v>
      </c>
      <c r="S518" s="160" t="str">
        <f>CONCATENATE(Data!E25," hours")</f>
        <v>1 hours</v>
      </c>
      <c r="T518" s="160" t="s">
        <v>1153</v>
      </c>
      <c r="U518" s="160" t="s">
        <v>1073</v>
      </c>
      <c r="V518" s="160" t="s">
        <v>1057</v>
      </c>
    </row>
    <row r="519" spans="2:22" ht="11.25">
      <c r="B519" s="161" t="s">
        <v>1057</v>
      </c>
      <c r="C519" s="161" t="s">
        <v>1057</v>
      </c>
      <c r="D519" s="161">
        <v>3</v>
      </c>
      <c r="E519" s="161">
        <v>3</v>
      </c>
      <c r="F519" s="161">
        <v>3</v>
      </c>
      <c r="G519" s="161" t="s">
        <v>1057</v>
      </c>
      <c r="H519" s="161" t="s">
        <v>1057</v>
      </c>
      <c r="I519" s="161" t="s">
        <v>1057</v>
      </c>
      <c r="J519" s="161">
        <v>3</v>
      </c>
      <c r="K519" s="161">
        <v>3</v>
      </c>
      <c r="L519" s="160" t="s">
        <v>1057</v>
      </c>
      <c r="M519" s="160" t="s">
        <v>909</v>
      </c>
      <c r="N519" s="160" t="s">
        <v>815</v>
      </c>
      <c r="O519" s="160" t="s">
        <v>1077</v>
      </c>
      <c r="P519" s="160" t="s">
        <v>1108</v>
      </c>
      <c r="Q519" s="160" t="str">
        <f>CONCATENATE(25+(FLOOR(Data!E25/2,1)*5)," ft.")</f>
        <v>25 ft.</v>
      </c>
      <c r="R519" s="162" t="s">
        <v>485</v>
      </c>
      <c r="S519" s="160" t="str">
        <f>CONCATENATE(Data!E25," rnds [D]")</f>
        <v>1 rnds [D]</v>
      </c>
      <c r="T519" s="160" t="s">
        <v>1061</v>
      </c>
      <c r="U519" s="160" t="s">
        <v>801</v>
      </c>
      <c r="V519" s="160" t="s">
        <v>1057</v>
      </c>
    </row>
    <row r="520" spans="2:22" ht="11.25">
      <c r="B520" s="161" t="s">
        <v>1057</v>
      </c>
      <c r="C520" s="161" t="s">
        <v>1057</v>
      </c>
      <c r="D520" s="161">
        <v>4</v>
      </c>
      <c r="E520" s="161">
        <v>4</v>
      </c>
      <c r="F520" s="161">
        <v>4</v>
      </c>
      <c r="G520" s="161" t="s">
        <v>1057</v>
      </c>
      <c r="H520" s="161" t="s">
        <v>1057</v>
      </c>
      <c r="I520" s="161" t="s">
        <v>1057</v>
      </c>
      <c r="J520" s="161">
        <v>4</v>
      </c>
      <c r="K520" s="161">
        <v>4</v>
      </c>
      <c r="L520" s="160" t="s">
        <v>1057</v>
      </c>
      <c r="M520" s="160" t="s">
        <v>932</v>
      </c>
      <c r="N520" s="160" t="s">
        <v>815</v>
      </c>
      <c r="O520" s="160" t="s">
        <v>1077</v>
      </c>
      <c r="P520" s="160" t="s">
        <v>1108</v>
      </c>
      <c r="Q520" s="160" t="str">
        <f>CONCATENATE(25+(FLOOR(Data!E25/2,1)*5)," ft.")</f>
        <v>25 ft.</v>
      </c>
      <c r="R520" s="162" t="s">
        <v>485</v>
      </c>
      <c r="S520" s="160" t="str">
        <f>CONCATENATE(Data!E25," rnds [D]")</f>
        <v>1 rnds [D]</v>
      </c>
      <c r="T520" s="160" t="s">
        <v>1061</v>
      </c>
      <c r="U520" s="160" t="s">
        <v>801</v>
      </c>
      <c r="V520" s="160" t="s">
        <v>1057</v>
      </c>
    </row>
    <row r="521" spans="2:22" ht="11.25">
      <c r="B521" s="161" t="s">
        <v>1057</v>
      </c>
      <c r="C521" s="161" t="s">
        <v>1057</v>
      </c>
      <c r="D521" s="161" t="s">
        <v>1057</v>
      </c>
      <c r="E521" s="161" t="s">
        <v>1057</v>
      </c>
      <c r="F521" s="161">
        <v>9</v>
      </c>
      <c r="G521" s="161" t="s">
        <v>1057</v>
      </c>
      <c r="H521" s="161" t="s">
        <v>1057</v>
      </c>
      <c r="I521" s="161" t="s">
        <v>1057</v>
      </c>
      <c r="J521" s="161">
        <v>9</v>
      </c>
      <c r="K521" s="161">
        <v>9</v>
      </c>
      <c r="L521" s="160" t="s">
        <v>487</v>
      </c>
      <c r="M521" s="160" t="s">
        <v>486</v>
      </c>
      <c r="N521" s="160" t="s">
        <v>815</v>
      </c>
      <c r="O521" s="160" t="s">
        <v>1077</v>
      </c>
      <c r="P521" s="160" t="s">
        <v>1108</v>
      </c>
      <c r="Q521" s="160" t="str">
        <f>CONCATENATE(25+(FLOOR(Data!E25/2,1)*5)," ft.")</f>
        <v>25 ft.</v>
      </c>
      <c r="R521" s="162" t="s">
        <v>485</v>
      </c>
      <c r="S521" s="160" t="str">
        <f>CONCATENATE(Data!E25," rnds [D]")</f>
        <v>1 rnds [D]</v>
      </c>
      <c r="T521" s="160" t="s">
        <v>1061</v>
      </c>
      <c r="U521" s="160" t="s">
        <v>801</v>
      </c>
      <c r="V521" s="160" t="s">
        <v>1057</v>
      </c>
    </row>
    <row r="522" spans="2:22" ht="11.25">
      <c r="B522" s="161" t="s">
        <v>1057</v>
      </c>
      <c r="C522" s="161" t="s">
        <v>1057</v>
      </c>
      <c r="D522" s="161">
        <v>5</v>
      </c>
      <c r="E522" s="161" t="s">
        <v>1057</v>
      </c>
      <c r="F522" s="161">
        <v>5</v>
      </c>
      <c r="G522" s="161" t="s">
        <v>1057</v>
      </c>
      <c r="H522" s="161" t="s">
        <v>1057</v>
      </c>
      <c r="I522" s="161" t="s">
        <v>1057</v>
      </c>
      <c r="J522" s="161">
        <v>5</v>
      </c>
      <c r="K522" s="161">
        <v>5</v>
      </c>
      <c r="L522" s="160" t="s">
        <v>1057</v>
      </c>
      <c r="M522" s="160" t="s">
        <v>488</v>
      </c>
      <c r="N522" s="160" t="s">
        <v>815</v>
      </c>
      <c r="O522" s="160" t="s">
        <v>1077</v>
      </c>
      <c r="P522" s="160" t="s">
        <v>1108</v>
      </c>
      <c r="Q522" s="160" t="str">
        <f>CONCATENATE(25+(FLOOR(Data!E25/2,1)*5)," ft.")</f>
        <v>25 ft.</v>
      </c>
      <c r="R522" s="162" t="s">
        <v>485</v>
      </c>
      <c r="S522" s="160" t="str">
        <f>CONCATENATE(Data!E25," rnds [D]")</f>
        <v>1 rnds [D]</v>
      </c>
      <c r="T522" s="160" t="s">
        <v>1061</v>
      </c>
      <c r="U522" s="160" t="s">
        <v>801</v>
      </c>
      <c r="V522" s="160" t="s">
        <v>1057</v>
      </c>
    </row>
    <row r="523" spans="2:22" ht="11.25">
      <c r="B523" s="161" t="s">
        <v>1057</v>
      </c>
      <c r="C523" s="161" t="s">
        <v>1057</v>
      </c>
      <c r="D523" s="161">
        <v>6</v>
      </c>
      <c r="E523" s="161" t="s">
        <v>1057</v>
      </c>
      <c r="F523" s="161">
        <v>6</v>
      </c>
      <c r="G523" s="161" t="s">
        <v>1057</v>
      </c>
      <c r="H523" s="161" t="s">
        <v>1057</v>
      </c>
      <c r="I523" s="161" t="s">
        <v>1057</v>
      </c>
      <c r="J523" s="161">
        <v>6</v>
      </c>
      <c r="K523" s="161">
        <v>6</v>
      </c>
      <c r="L523" s="160" t="s">
        <v>1057</v>
      </c>
      <c r="M523" s="160" t="s">
        <v>489</v>
      </c>
      <c r="N523" s="160" t="s">
        <v>815</v>
      </c>
      <c r="O523" s="160" t="s">
        <v>1077</v>
      </c>
      <c r="P523" s="160" t="s">
        <v>1108</v>
      </c>
      <c r="Q523" s="160" t="str">
        <f>CONCATENATE(25+(FLOOR(Data!E25/2,1)*5)," ft.")</f>
        <v>25 ft.</v>
      </c>
      <c r="R523" s="162" t="s">
        <v>485</v>
      </c>
      <c r="S523" s="160" t="str">
        <f>CONCATENATE(Data!E25," rnds [D]")</f>
        <v>1 rnds [D]</v>
      </c>
      <c r="T523" s="160" t="s">
        <v>1061</v>
      </c>
      <c r="U523" s="160" t="s">
        <v>801</v>
      </c>
      <c r="V523" s="160" t="s">
        <v>1057</v>
      </c>
    </row>
    <row r="524" spans="2:22" ht="11.25">
      <c r="B524" s="161" t="s">
        <v>1057</v>
      </c>
      <c r="C524" s="161" t="s">
        <v>1057</v>
      </c>
      <c r="D524" s="161" t="s">
        <v>1057</v>
      </c>
      <c r="E524" s="161" t="s">
        <v>1057</v>
      </c>
      <c r="F524" s="161">
        <v>7</v>
      </c>
      <c r="G524" s="161" t="s">
        <v>1057</v>
      </c>
      <c r="H524" s="161" t="s">
        <v>1057</v>
      </c>
      <c r="I524" s="161" t="s">
        <v>1057</v>
      </c>
      <c r="J524" s="161">
        <v>7</v>
      </c>
      <c r="K524" s="161">
        <v>7</v>
      </c>
      <c r="L524" s="160" t="s">
        <v>1057</v>
      </c>
      <c r="M524" s="160" t="s">
        <v>490</v>
      </c>
      <c r="N524" s="160" t="s">
        <v>815</v>
      </c>
      <c r="O524" s="160" t="s">
        <v>1077</v>
      </c>
      <c r="P524" s="160" t="s">
        <v>1108</v>
      </c>
      <c r="Q524" s="160" t="str">
        <f>CONCATENATE(25+(FLOOR(Data!E25/2,1)*5)," ft.")</f>
        <v>25 ft.</v>
      </c>
      <c r="R524" s="162" t="s">
        <v>485</v>
      </c>
      <c r="S524" s="160" t="str">
        <f>CONCATENATE(Data!E25," rnds [D]")</f>
        <v>1 rnds [D]</v>
      </c>
      <c r="T524" s="160" t="s">
        <v>1061</v>
      </c>
      <c r="U524" s="160" t="s">
        <v>801</v>
      </c>
      <c r="V524" s="160" t="s">
        <v>1057</v>
      </c>
    </row>
    <row r="525" spans="2:22" ht="11.25">
      <c r="B525" s="161" t="s">
        <v>1057</v>
      </c>
      <c r="C525" s="161" t="s">
        <v>1057</v>
      </c>
      <c r="D525" s="161" t="s">
        <v>1057</v>
      </c>
      <c r="E525" s="161" t="s">
        <v>1057</v>
      </c>
      <c r="F525" s="161">
        <v>8</v>
      </c>
      <c r="G525" s="161" t="s">
        <v>1057</v>
      </c>
      <c r="H525" s="161" t="s">
        <v>1057</v>
      </c>
      <c r="I525" s="161" t="s">
        <v>1057</v>
      </c>
      <c r="J525" s="161">
        <v>8</v>
      </c>
      <c r="K525" s="161">
        <v>8</v>
      </c>
      <c r="L525" s="160" t="s">
        <v>1057</v>
      </c>
      <c r="M525" s="160" t="s">
        <v>491</v>
      </c>
      <c r="N525" s="160" t="s">
        <v>815</v>
      </c>
      <c r="O525" s="160" t="s">
        <v>1077</v>
      </c>
      <c r="P525" s="160" t="s">
        <v>1108</v>
      </c>
      <c r="Q525" s="160" t="str">
        <f>CONCATENATE(25+(FLOOR(Data!E25/2,1)*5)," ft.")</f>
        <v>25 ft.</v>
      </c>
      <c r="R525" s="162" t="s">
        <v>485</v>
      </c>
      <c r="S525" s="160" t="str">
        <f>CONCATENATE(Data!E25," rnds [D]")</f>
        <v>1 rnds [D]</v>
      </c>
      <c r="T525" s="160" t="s">
        <v>1061</v>
      </c>
      <c r="U525" s="160" t="s">
        <v>801</v>
      </c>
      <c r="V525" s="160" t="s">
        <v>1057</v>
      </c>
    </row>
    <row r="526" spans="2:22" ht="11.25">
      <c r="B526" s="161" t="s">
        <v>1057</v>
      </c>
      <c r="C526" s="161" t="s">
        <v>1057</v>
      </c>
      <c r="D526" s="161" t="s">
        <v>1057</v>
      </c>
      <c r="E526" s="161" t="s">
        <v>1057</v>
      </c>
      <c r="F526" s="161" t="s">
        <v>1057</v>
      </c>
      <c r="G526" s="161">
        <v>1</v>
      </c>
      <c r="H526" s="161" t="s">
        <v>1057</v>
      </c>
      <c r="I526" s="161">
        <v>1</v>
      </c>
      <c r="J526" s="161" t="s">
        <v>1057</v>
      </c>
      <c r="K526" s="161" t="s">
        <v>1057</v>
      </c>
      <c r="L526" s="160" t="s">
        <v>1057</v>
      </c>
      <c r="M526" s="160" t="s">
        <v>492</v>
      </c>
      <c r="N526" s="160" t="s">
        <v>815</v>
      </c>
      <c r="O526" s="160" t="s">
        <v>1071</v>
      </c>
      <c r="P526" s="160" t="s">
        <v>1108</v>
      </c>
      <c r="Q526" s="160" t="str">
        <f>CONCATENATE(25+(FLOOR(Data!E25/2,1)*5)," ft.")</f>
        <v>25 ft.</v>
      </c>
      <c r="R526" s="162" t="s">
        <v>484</v>
      </c>
      <c r="S526" s="160" t="str">
        <f>CONCATENATE(Data!E25," rnds [D]")</f>
        <v>1 rnds [D]</v>
      </c>
      <c r="T526" s="160" t="s">
        <v>1061</v>
      </c>
      <c r="U526" s="160" t="s">
        <v>801</v>
      </c>
      <c r="V526" s="160" t="s">
        <v>1057</v>
      </c>
    </row>
    <row r="527" spans="2:22" ht="11.25">
      <c r="B527" s="161" t="s">
        <v>1057</v>
      </c>
      <c r="C527" s="161" t="s">
        <v>1057</v>
      </c>
      <c r="D527" s="161" t="s">
        <v>1057</v>
      </c>
      <c r="E527" s="161" t="s">
        <v>1057</v>
      </c>
      <c r="F527" s="161" t="s">
        <v>1057</v>
      </c>
      <c r="G527" s="161">
        <v>2</v>
      </c>
      <c r="H527" s="161" t="s">
        <v>1057</v>
      </c>
      <c r="I527" s="161">
        <v>2</v>
      </c>
      <c r="J527" s="161" t="s">
        <v>1057</v>
      </c>
      <c r="K527" s="161" t="s">
        <v>1057</v>
      </c>
      <c r="L527" s="160" t="s">
        <v>1057</v>
      </c>
      <c r="M527" s="160" t="s">
        <v>493</v>
      </c>
      <c r="N527" s="160" t="s">
        <v>815</v>
      </c>
      <c r="O527" s="160" t="s">
        <v>1071</v>
      </c>
      <c r="P527" s="160" t="s">
        <v>1108</v>
      </c>
      <c r="Q527" s="160" t="str">
        <f>CONCATENATE(25+(FLOOR(Data!E25/2,1)*5)," ft.")</f>
        <v>25 ft.</v>
      </c>
      <c r="R527" s="162" t="s">
        <v>494</v>
      </c>
      <c r="S527" s="160" t="str">
        <f>CONCATENATE(Data!E25," rnds [D]")</f>
        <v>1 rnds [D]</v>
      </c>
      <c r="T527" s="160" t="s">
        <v>1061</v>
      </c>
      <c r="U527" s="160" t="s">
        <v>801</v>
      </c>
      <c r="V527" s="160" t="s">
        <v>1057</v>
      </c>
    </row>
    <row r="528" spans="2:22" ht="11.25">
      <c r="B528" s="161" t="s">
        <v>1057</v>
      </c>
      <c r="C528" s="161" t="s">
        <v>1057</v>
      </c>
      <c r="D528" s="161" t="s">
        <v>1057</v>
      </c>
      <c r="E528" s="161" t="s">
        <v>1057</v>
      </c>
      <c r="F528" s="161" t="s">
        <v>1057</v>
      </c>
      <c r="G528" s="161">
        <v>3</v>
      </c>
      <c r="H528" s="161" t="s">
        <v>1057</v>
      </c>
      <c r="I528" s="161">
        <v>3</v>
      </c>
      <c r="J528" s="161" t="s">
        <v>1057</v>
      </c>
      <c r="K528" s="161" t="s">
        <v>1057</v>
      </c>
      <c r="L528" s="160" t="s">
        <v>1057</v>
      </c>
      <c r="M528" s="160" t="s">
        <v>495</v>
      </c>
      <c r="N528" s="160" t="s">
        <v>815</v>
      </c>
      <c r="O528" s="160" t="s">
        <v>1071</v>
      </c>
      <c r="P528" s="160" t="s">
        <v>1108</v>
      </c>
      <c r="Q528" s="160" t="str">
        <f>CONCATENATE(25+(FLOOR(Data!E25/2,1)*5)," ft.")</f>
        <v>25 ft.</v>
      </c>
      <c r="R528" s="162" t="s">
        <v>494</v>
      </c>
      <c r="S528" s="160" t="str">
        <f>CONCATENATE(Data!E25," rnds [D]")</f>
        <v>1 rnds [D]</v>
      </c>
      <c r="T528" s="160" t="s">
        <v>1061</v>
      </c>
      <c r="U528" s="160" t="s">
        <v>801</v>
      </c>
      <c r="V528" s="160" t="s">
        <v>1057</v>
      </c>
    </row>
    <row r="529" spans="2:22" ht="11.25">
      <c r="B529" s="161" t="s">
        <v>1057</v>
      </c>
      <c r="C529" s="161" t="s">
        <v>1057</v>
      </c>
      <c r="D529" s="161" t="s">
        <v>1057</v>
      </c>
      <c r="E529" s="161" t="s">
        <v>1057</v>
      </c>
      <c r="F529" s="161" t="s">
        <v>1057</v>
      </c>
      <c r="G529" s="161">
        <v>4</v>
      </c>
      <c r="H529" s="161" t="s">
        <v>1057</v>
      </c>
      <c r="I529" s="161">
        <v>4</v>
      </c>
      <c r="J529" s="161" t="s">
        <v>1057</v>
      </c>
      <c r="K529" s="161" t="s">
        <v>1057</v>
      </c>
      <c r="L529" s="160" t="s">
        <v>497</v>
      </c>
      <c r="M529" s="160" t="s">
        <v>496</v>
      </c>
      <c r="N529" s="160" t="s">
        <v>815</v>
      </c>
      <c r="O529" s="160" t="s">
        <v>1071</v>
      </c>
      <c r="P529" s="160" t="s">
        <v>1108</v>
      </c>
      <c r="Q529" s="160" t="str">
        <f>CONCATENATE(25+(FLOOR(Data!E25/2,1)*5)," ft.")</f>
        <v>25 ft.</v>
      </c>
      <c r="R529" s="162" t="s">
        <v>494</v>
      </c>
      <c r="S529" s="160" t="str">
        <f>CONCATENATE(Data!E25," rnds [D]")</f>
        <v>1 rnds [D]</v>
      </c>
      <c r="T529" s="160" t="s">
        <v>1061</v>
      </c>
      <c r="U529" s="160" t="s">
        <v>801</v>
      </c>
      <c r="V529" s="160" t="s">
        <v>1057</v>
      </c>
    </row>
    <row r="530" spans="2:22" ht="11.25">
      <c r="B530" s="161" t="s">
        <v>1057</v>
      </c>
      <c r="C530" s="161" t="s">
        <v>1057</v>
      </c>
      <c r="D530" s="161" t="s">
        <v>1057</v>
      </c>
      <c r="E530" s="161" t="s">
        <v>1057</v>
      </c>
      <c r="F530" s="161" t="s">
        <v>1057</v>
      </c>
      <c r="G530" s="161">
        <v>9</v>
      </c>
      <c r="H530" s="161" t="s">
        <v>1057</v>
      </c>
      <c r="I530" s="161" t="s">
        <v>1057</v>
      </c>
      <c r="J530" s="161" t="s">
        <v>1057</v>
      </c>
      <c r="K530" s="161" t="s">
        <v>1057</v>
      </c>
      <c r="L530" s="160" t="s">
        <v>1057</v>
      </c>
      <c r="M530" s="160" t="s">
        <v>498</v>
      </c>
      <c r="N530" s="160" t="s">
        <v>815</v>
      </c>
      <c r="O530" s="160" t="s">
        <v>1071</v>
      </c>
      <c r="P530" s="160" t="s">
        <v>1108</v>
      </c>
      <c r="Q530" s="160" t="str">
        <f>CONCATENATE(25+(FLOOR(Data!E25/2,1)*5)," ft.")</f>
        <v>25 ft.</v>
      </c>
      <c r="R530" s="162" t="s">
        <v>494</v>
      </c>
      <c r="S530" s="160" t="str">
        <f>CONCATENATE(Data!E25," rnds [D]")</f>
        <v>1 rnds [D]</v>
      </c>
      <c r="T530" s="160" t="s">
        <v>1061</v>
      </c>
      <c r="U530" s="160" t="s">
        <v>801</v>
      </c>
      <c r="V530" s="160" t="s">
        <v>1057</v>
      </c>
    </row>
    <row r="531" spans="2:22" ht="11.25">
      <c r="B531" s="161" t="s">
        <v>1057</v>
      </c>
      <c r="C531" s="161" t="s">
        <v>1057</v>
      </c>
      <c r="D531" s="161" t="s">
        <v>1057</v>
      </c>
      <c r="E531" s="161" t="s">
        <v>1057</v>
      </c>
      <c r="F531" s="161" t="s">
        <v>1057</v>
      </c>
      <c r="G531" s="161">
        <v>5</v>
      </c>
      <c r="H531" s="161" t="s">
        <v>1057</v>
      </c>
      <c r="I531" s="161" t="s">
        <v>1057</v>
      </c>
      <c r="J531" s="161" t="s">
        <v>1057</v>
      </c>
      <c r="K531" s="161" t="s">
        <v>1057</v>
      </c>
      <c r="L531" s="160" t="s">
        <v>1057</v>
      </c>
      <c r="M531" s="160" t="s">
        <v>499</v>
      </c>
      <c r="N531" s="160" t="s">
        <v>815</v>
      </c>
      <c r="O531" s="160" t="s">
        <v>1071</v>
      </c>
      <c r="P531" s="160" t="s">
        <v>1108</v>
      </c>
      <c r="Q531" s="160" t="str">
        <f>CONCATENATE(25+(FLOOR(Data!E25/2,1)*5)," ft.")</f>
        <v>25 ft.</v>
      </c>
      <c r="R531" s="162" t="s">
        <v>494</v>
      </c>
      <c r="S531" s="160" t="str">
        <f>CONCATENATE(Data!E25," rnds [D]")</f>
        <v>1 rnds [D]</v>
      </c>
      <c r="T531" s="160" t="s">
        <v>1061</v>
      </c>
      <c r="U531" s="160" t="s">
        <v>801</v>
      </c>
      <c r="V531" s="160" t="s">
        <v>1057</v>
      </c>
    </row>
    <row r="532" spans="2:22" ht="11.25">
      <c r="B532" s="161" t="s">
        <v>1057</v>
      </c>
      <c r="C532" s="161" t="s">
        <v>1057</v>
      </c>
      <c r="D532" s="161" t="s">
        <v>1057</v>
      </c>
      <c r="E532" s="161" t="s">
        <v>1057</v>
      </c>
      <c r="F532" s="161" t="s">
        <v>1057</v>
      </c>
      <c r="G532" s="161">
        <v>6</v>
      </c>
      <c r="H532" s="161" t="s">
        <v>1057</v>
      </c>
      <c r="I532" s="161" t="s">
        <v>1057</v>
      </c>
      <c r="J532" s="161" t="s">
        <v>1057</v>
      </c>
      <c r="K532" s="161" t="s">
        <v>1057</v>
      </c>
      <c r="L532" s="160" t="s">
        <v>1057</v>
      </c>
      <c r="M532" s="160" t="s">
        <v>500</v>
      </c>
      <c r="N532" s="160" t="s">
        <v>815</v>
      </c>
      <c r="O532" s="160" t="s">
        <v>1071</v>
      </c>
      <c r="P532" s="160" t="s">
        <v>1108</v>
      </c>
      <c r="Q532" s="160" t="str">
        <f>CONCATENATE(25+(FLOOR(Data!E25/2,1)*5)," ft.")</f>
        <v>25 ft.</v>
      </c>
      <c r="R532" s="162" t="s">
        <v>494</v>
      </c>
      <c r="S532" s="160" t="str">
        <f>CONCATENATE(Data!E25," rnds [D]")</f>
        <v>1 rnds [D]</v>
      </c>
      <c r="T532" s="160" t="s">
        <v>1061</v>
      </c>
      <c r="U532" s="160" t="s">
        <v>801</v>
      </c>
      <c r="V532" s="160" t="s">
        <v>1057</v>
      </c>
    </row>
    <row r="533" spans="2:22" ht="11.25">
      <c r="B533" s="161" t="s">
        <v>1057</v>
      </c>
      <c r="C533" s="161" t="s">
        <v>1057</v>
      </c>
      <c r="D533" s="161" t="s">
        <v>1057</v>
      </c>
      <c r="E533" s="161" t="s">
        <v>1057</v>
      </c>
      <c r="F533" s="161" t="s">
        <v>1057</v>
      </c>
      <c r="G533" s="161">
        <v>7</v>
      </c>
      <c r="H533" s="161" t="s">
        <v>1057</v>
      </c>
      <c r="I533" s="161" t="s">
        <v>1057</v>
      </c>
      <c r="J533" s="161" t="s">
        <v>1057</v>
      </c>
      <c r="K533" s="161" t="s">
        <v>1057</v>
      </c>
      <c r="L533" s="160" t="s">
        <v>1057</v>
      </c>
      <c r="M533" s="160" t="s">
        <v>501</v>
      </c>
      <c r="N533" s="160" t="s">
        <v>815</v>
      </c>
      <c r="O533" s="160" t="s">
        <v>1071</v>
      </c>
      <c r="P533" s="160" t="s">
        <v>1108</v>
      </c>
      <c r="Q533" s="160" t="str">
        <f>CONCATENATE(25+(FLOOR(Data!E25/2,1)*5)," ft.")</f>
        <v>25 ft.</v>
      </c>
      <c r="R533" s="162" t="s">
        <v>494</v>
      </c>
      <c r="S533" s="160" t="str">
        <f>CONCATENATE(Data!E25," rnds [D]")</f>
        <v>1 rnds [D]</v>
      </c>
      <c r="T533" s="160" t="s">
        <v>1061</v>
      </c>
      <c r="U533" s="160" t="s">
        <v>801</v>
      </c>
      <c r="V533" s="160" t="s">
        <v>1057</v>
      </c>
    </row>
    <row r="534" spans="2:22" ht="11.25">
      <c r="B534" s="161" t="s">
        <v>1057</v>
      </c>
      <c r="C534" s="161" t="s">
        <v>1057</v>
      </c>
      <c r="D534" s="161" t="s">
        <v>1057</v>
      </c>
      <c r="E534" s="161" t="s">
        <v>1057</v>
      </c>
      <c r="F534" s="161" t="s">
        <v>1057</v>
      </c>
      <c r="G534" s="161">
        <v>8</v>
      </c>
      <c r="H534" s="161" t="s">
        <v>1057</v>
      </c>
      <c r="I534" s="161" t="s">
        <v>1057</v>
      </c>
      <c r="J534" s="161" t="s">
        <v>1057</v>
      </c>
      <c r="K534" s="161" t="s">
        <v>1057</v>
      </c>
      <c r="L534" s="160" t="s">
        <v>503</v>
      </c>
      <c r="M534" s="160" t="s">
        <v>502</v>
      </c>
      <c r="N534" s="160" t="s">
        <v>815</v>
      </c>
      <c r="O534" s="160" t="s">
        <v>1071</v>
      </c>
      <c r="P534" s="160" t="s">
        <v>1108</v>
      </c>
      <c r="Q534" s="160" t="str">
        <f>CONCATENATE(25+(FLOOR(Data!E25/2,1)*5)," ft.")</f>
        <v>25 ft.</v>
      </c>
      <c r="R534" s="162" t="s">
        <v>494</v>
      </c>
      <c r="S534" s="160" t="str">
        <f>CONCATENATE(Data!E25," rnds [D]")</f>
        <v>1 rnds [D]</v>
      </c>
      <c r="T534" s="160" t="s">
        <v>1061</v>
      </c>
      <c r="U534" s="160" t="s">
        <v>801</v>
      </c>
      <c r="V534" s="160" t="s">
        <v>1057</v>
      </c>
    </row>
    <row r="535" spans="2:22" ht="11.25">
      <c r="B535" s="161">
        <v>2</v>
      </c>
      <c r="C535" s="161" t="s">
        <v>1057</v>
      </c>
      <c r="D535" s="161" t="s">
        <v>1057</v>
      </c>
      <c r="E535" s="161" t="s">
        <v>1057</v>
      </c>
      <c r="F535" s="161">
        <v>2</v>
      </c>
      <c r="G535" s="161">
        <v>2</v>
      </c>
      <c r="H535" s="161">
        <v>2</v>
      </c>
      <c r="I535" s="161">
        <v>1</v>
      </c>
      <c r="J535" s="161">
        <v>2</v>
      </c>
      <c r="K535" s="161">
        <v>2</v>
      </c>
      <c r="L535" s="160" t="s">
        <v>368</v>
      </c>
      <c r="M535" s="160" t="s">
        <v>367</v>
      </c>
      <c r="N535" s="160" t="s">
        <v>845</v>
      </c>
      <c r="O535" s="160" t="s">
        <v>1071</v>
      </c>
      <c r="P535" s="160" t="s">
        <v>1059</v>
      </c>
      <c r="Q535" s="160" t="s">
        <v>799</v>
      </c>
      <c r="R535" s="162" t="s">
        <v>1152</v>
      </c>
      <c r="S535" s="160" t="str">
        <f>CONCATENATE(Data!E25*10," min.")</f>
        <v>10 min.</v>
      </c>
      <c r="T535" s="160" t="s">
        <v>1300</v>
      </c>
      <c r="U535" s="160" t="s">
        <v>1073</v>
      </c>
      <c r="V535" s="160" t="s">
        <v>1057</v>
      </c>
    </row>
    <row r="536" spans="2:22" ht="11.25">
      <c r="B536" s="161" t="s">
        <v>1057</v>
      </c>
      <c r="C536" s="161" t="s">
        <v>1057</v>
      </c>
      <c r="D536" s="161" t="s">
        <v>1057</v>
      </c>
      <c r="E536" s="161" t="s">
        <v>1057</v>
      </c>
      <c r="F536" s="161" t="s">
        <v>1057</v>
      </c>
      <c r="G536" s="161">
        <v>7</v>
      </c>
      <c r="H536" s="161" t="s">
        <v>1057</v>
      </c>
      <c r="I536" s="161" t="s">
        <v>1057</v>
      </c>
      <c r="J536" s="161" t="s">
        <v>1057</v>
      </c>
      <c r="K536" s="161" t="s">
        <v>1057</v>
      </c>
      <c r="L536" s="160" t="s">
        <v>507</v>
      </c>
      <c r="M536" s="160" t="s">
        <v>506</v>
      </c>
      <c r="N536" s="160" t="s">
        <v>1162</v>
      </c>
      <c r="O536" s="160" t="s">
        <v>1071</v>
      </c>
      <c r="P536" s="160" t="s">
        <v>1059</v>
      </c>
      <c r="Q536" s="160" t="s">
        <v>1246</v>
      </c>
      <c r="R536" s="162" t="s">
        <v>508</v>
      </c>
      <c r="S536" s="160" t="str">
        <f>CONCATENATE(Data!E25," rnds or until exhausted")</f>
        <v>1 rnds or until exhausted</v>
      </c>
      <c r="T536" s="160" t="s">
        <v>1087</v>
      </c>
      <c r="U536" s="160" t="s">
        <v>805</v>
      </c>
      <c r="V536" s="160" t="s">
        <v>1057</v>
      </c>
    </row>
    <row r="537" spans="2:22" ht="11.25">
      <c r="B537" s="161" t="s">
        <v>1057</v>
      </c>
      <c r="C537" s="161" t="s">
        <v>1057</v>
      </c>
      <c r="D537" s="161" t="s">
        <v>1057</v>
      </c>
      <c r="E537" s="161" t="s">
        <v>1057</v>
      </c>
      <c r="F537" s="161" t="s">
        <v>1057</v>
      </c>
      <c r="G537" s="161">
        <v>8</v>
      </c>
      <c r="H537" s="161" t="s">
        <v>1057</v>
      </c>
      <c r="I537" s="161" t="s">
        <v>1057</v>
      </c>
      <c r="J537" s="161">
        <v>8</v>
      </c>
      <c r="K537" s="161">
        <v>8</v>
      </c>
      <c r="L537" s="160" t="s">
        <v>510</v>
      </c>
      <c r="M537" s="160" t="s">
        <v>509</v>
      </c>
      <c r="N537" s="160" t="s">
        <v>1162</v>
      </c>
      <c r="O537" s="160" t="s">
        <v>1064</v>
      </c>
      <c r="P537" s="160" t="s">
        <v>1059</v>
      </c>
      <c r="Q537" s="160" t="str">
        <f>CONCATENATE(400+(40*Data!E25)," ft.")</f>
        <v>440 ft.</v>
      </c>
      <c r="R537" s="162" t="s">
        <v>511</v>
      </c>
      <c r="S537" s="160" t="s">
        <v>1069</v>
      </c>
      <c r="T537" s="160" t="s">
        <v>1087</v>
      </c>
      <c r="U537" s="160" t="s">
        <v>805</v>
      </c>
      <c r="V537" s="160" t="s">
        <v>1057</v>
      </c>
    </row>
    <row r="538" spans="2:22" ht="11.25">
      <c r="B538" s="161" t="s">
        <v>1057</v>
      </c>
      <c r="C538" s="161" t="s">
        <v>1057</v>
      </c>
      <c r="D538" s="161" t="s">
        <v>1057</v>
      </c>
      <c r="E538" s="161" t="s">
        <v>1057</v>
      </c>
      <c r="F538" s="161">
        <v>8</v>
      </c>
      <c r="G538" s="161" t="s">
        <v>1057</v>
      </c>
      <c r="H538" s="161" t="s">
        <v>1057</v>
      </c>
      <c r="I538" s="161" t="s">
        <v>1057</v>
      </c>
      <c r="J538" s="161">
        <v>8</v>
      </c>
      <c r="K538" s="161">
        <v>8</v>
      </c>
      <c r="L538" s="160" t="s">
        <v>1057</v>
      </c>
      <c r="M538" s="160" t="s">
        <v>512</v>
      </c>
      <c r="N538" s="160" t="s">
        <v>826</v>
      </c>
      <c r="O538" s="160" t="s">
        <v>1091</v>
      </c>
      <c r="P538" s="160" t="s">
        <v>1118</v>
      </c>
      <c r="Q538" s="160" t="s">
        <v>1087</v>
      </c>
      <c r="R538" s="162" t="s">
        <v>513</v>
      </c>
      <c r="S538" s="160" t="s">
        <v>1087</v>
      </c>
      <c r="T538" s="160" t="s">
        <v>1090</v>
      </c>
      <c r="U538" s="160" t="s">
        <v>805</v>
      </c>
      <c r="V538" s="160" t="s">
        <v>372</v>
      </c>
    </row>
    <row r="539" spans="2:22" ht="11.25">
      <c r="B539" s="161" t="s">
        <v>1057</v>
      </c>
      <c r="C539" s="161" t="s">
        <v>1057</v>
      </c>
      <c r="D539" s="161" t="s">
        <v>1057</v>
      </c>
      <c r="E539" s="161" t="s">
        <v>1057</v>
      </c>
      <c r="F539" s="161">
        <v>6</v>
      </c>
      <c r="G539" s="161" t="s">
        <v>1057</v>
      </c>
      <c r="H539" s="161" t="s">
        <v>1057</v>
      </c>
      <c r="I539" s="161" t="s">
        <v>1057</v>
      </c>
      <c r="J539" s="161">
        <v>6</v>
      </c>
      <c r="K539" s="161">
        <v>6</v>
      </c>
      <c r="L539" s="160" t="s">
        <v>1057</v>
      </c>
      <c r="M539" s="160" t="s">
        <v>514</v>
      </c>
      <c r="N539" s="160" t="s">
        <v>826</v>
      </c>
      <c r="O539" s="160" t="s">
        <v>1091</v>
      </c>
      <c r="P539" s="160" t="s">
        <v>1118</v>
      </c>
      <c r="Q539" s="160" t="s">
        <v>1087</v>
      </c>
      <c r="R539" s="162" t="s">
        <v>513</v>
      </c>
      <c r="S539" s="160" t="s">
        <v>1087</v>
      </c>
      <c r="T539" s="160" t="s">
        <v>1141</v>
      </c>
      <c r="U539" s="160" t="s">
        <v>805</v>
      </c>
      <c r="V539" s="160" t="s">
        <v>1131</v>
      </c>
    </row>
    <row r="540" spans="2:22" ht="11.25">
      <c r="B540" s="161" t="s">
        <v>1057</v>
      </c>
      <c r="C540" s="161" t="s">
        <v>1057</v>
      </c>
      <c r="D540" s="161" t="s">
        <v>1057</v>
      </c>
      <c r="E540" s="161" t="s">
        <v>1057</v>
      </c>
      <c r="F540" s="161">
        <v>8</v>
      </c>
      <c r="G540" s="161" t="s">
        <v>1057</v>
      </c>
      <c r="H540" s="161" t="s">
        <v>1057</v>
      </c>
      <c r="I540" s="161" t="s">
        <v>1057</v>
      </c>
      <c r="J540" s="161">
        <v>8</v>
      </c>
      <c r="K540" s="161">
        <v>8</v>
      </c>
      <c r="L540" s="160" t="s">
        <v>1057</v>
      </c>
      <c r="M540" s="160" t="s">
        <v>515</v>
      </c>
      <c r="N540" s="160" t="s">
        <v>804</v>
      </c>
      <c r="O540" s="160" t="s">
        <v>1091</v>
      </c>
      <c r="P540" s="160" t="s">
        <v>1118</v>
      </c>
      <c r="Q540" s="160" t="s">
        <v>1087</v>
      </c>
      <c r="R540" s="162" t="s">
        <v>513</v>
      </c>
      <c r="S540" s="160" t="s">
        <v>1087</v>
      </c>
      <c r="T540" s="160" t="s">
        <v>1141</v>
      </c>
      <c r="U540" s="160" t="s">
        <v>805</v>
      </c>
      <c r="V540" s="160" t="s">
        <v>344</v>
      </c>
    </row>
    <row r="541" spans="2:22" ht="11.25">
      <c r="B541" s="161" t="s">
        <v>1057</v>
      </c>
      <c r="C541" s="161" t="s">
        <v>1057</v>
      </c>
      <c r="D541" s="161" t="s">
        <v>1057</v>
      </c>
      <c r="E541" s="161" t="s">
        <v>1057</v>
      </c>
      <c r="F541" s="161">
        <v>5</v>
      </c>
      <c r="G541" s="161" t="s">
        <v>1057</v>
      </c>
      <c r="H541" s="161" t="s">
        <v>1057</v>
      </c>
      <c r="I541" s="161" t="s">
        <v>1057</v>
      </c>
      <c r="J541" s="161">
        <v>5</v>
      </c>
      <c r="K541" s="161">
        <v>5</v>
      </c>
      <c r="L541" s="160" t="s">
        <v>1057</v>
      </c>
      <c r="M541" s="160" t="s">
        <v>516</v>
      </c>
      <c r="N541" s="160" t="s">
        <v>826</v>
      </c>
      <c r="O541" s="160" t="s">
        <v>1091</v>
      </c>
      <c r="P541" s="160" t="s">
        <v>1118</v>
      </c>
      <c r="Q541" s="160" t="s">
        <v>1087</v>
      </c>
      <c r="R541" s="162" t="s">
        <v>513</v>
      </c>
      <c r="S541" s="160" t="s">
        <v>1087</v>
      </c>
      <c r="T541" s="160" t="s">
        <v>1090</v>
      </c>
      <c r="U541" s="160" t="s">
        <v>805</v>
      </c>
      <c r="V541" s="160" t="s">
        <v>1131</v>
      </c>
    </row>
    <row r="542" spans="2:22" ht="11.25">
      <c r="B542" s="161" t="s">
        <v>1057</v>
      </c>
      <c r="C542" s="161" t="s">
        <v>1057</v>
      </c>
      <c r="D542" s="161" t="s">
        <v>1057</v>
      </c>
      <c r="E542" s="161" t="s">
        <v>1057</v>
      </c>
      <c r="F542" s="161">
        <v>6</v>
      </c>
      <c r="G542" s="161" t="s">
        <v>1057</v>
      </c>
      <c r="H542" s="161" t="s">
        <v>1057</v>
      </c>
      <c r="I542" s="161" t="s">
        <v>1057</v>
      </c>
      <c r="J542" s="161">
        <v>6</v>
      </c>
      <c r="K542" s="161">
        <v>6</v>
      </c>
      <c r="L542" s="160" t="s">
        <v>1057</v>
      </c>
      <c r="M542" s="160" t="s">
        <v>517</v>
      </c>
      <c r="N542" s="160" t="s">
        <v>804</v>
      </c>
      <c r="O542" s="160" t="s">
        <v>1091</v>
      </c>
      <c r="P542" s="160" t="s">
        <v>1118</v>
      </c>
      <c r="Q542" s="160" t="s">
        <v>1087</v>
      </c>
      <c r="R542" s="162" t="s">
        <v>513</v>
      </c>
      <c r="S542" s="160" t="s">
        <v>1087</v>
      </c>
      <c r="T542" s="160" t="s">
        <v>1141</v>
      </c>
      <c r="U542" s="160" t="s">
        <v>805</v>
      </c>
      <c r="V542" s="160" t="s">
        <v>344</v>
      </c>
    </row>
    <row r="543" spans="2:22" ht="11.25">
      <c r="B543" s="161" t="s">
        <v>1057</v>
      </c>
      <c r="C543" s="161" t="s">
        <v>1057</v>
      </c>
      <c r="D543" s="161" t="s">
        <v>1057</v>
      </c>
      <c r="E543" s="161" t="s">
        <v>1057</v>
      </c>
      <c r="F543" s="161">
        <v>5</v>
      </c>
      <c r="G543" s="161" t="s">
        <v>1057</v>
      </c>
      <c r="H543" s="161" t="s">
        <v>1057</v>
      </c>
      <c r="I543" s="161" t="s">
        <v>1057</v>
      </c>
      <c r="J543" s="161">
        <v>5</v>
      </c>
      <c r="K543" s="161">
        <v>5</v>
      </c>
      <c r="L543" s="160" t="s">
        <v>1057</v>
      </c>
      <c r="M543" s="160" t="s">
        <v>518</v>
      </c>
      <c r="N543" s="160" t="s">
        <v>804</v>
      </c>
      <c r="O543" s="160" t="s">
        <v>1091</v>
      </c>
      <c r="P543" s="160" t="s">
        <v>1118</v>
      </c>
      <c r="Q543" s="160" t="s">
        <v>1087</v>
      </c>
      <c r="R543" s="162" t="s">
        <v>513</v>
      </c>
      <c r="S543" s="160" t="s">
        <v>1087</v>
      </c>
      <c r="T543" s="160" t="s">
        <v>1141</v>
      </c>
      <c r="U543" s="160" t="s">
        <v>805</v>
      </c>
      <c r="V543" s="160" t="s">
        <v>1131</v>
      </c>
    </row>
    <row r="544" spans="2:22" ht="11.25">
      <c r="B544" s="161" t="s">
        <v>1057</v>
      </c>
      <c r="C544" s="161" t="s">
        <v>1057</v>
      </c>
      <c r="D544" s="161" t="s">
        <v>1057</v>
      </c>
      <c r="E544" s="161" t="s">
        <v>1057</v>
      </c>
      <c r="F544" s="161">
        <v>7</v>
      </c>
      <c r="G544" s="161" t="s">
        <v>1057</v>
      </c>
      <c r="H544" s="161" t="s">
        <v>1057</v>
      </c>
      <c r="I544" s="161" t="s">
        <v>1057</v>
      </c>
      <c r="J544" s="161">
        <v>7</v>
      </c>
      <c r="K544" s="161">
        <v>7</v>
      </c>
      <c r="L544" s="160" t="s">
        <v>1057</v>
      </c>
      <c r="M544" s="160" t="s">
        <v>519</v>
      </c>
      <c r="N544" s="160" t="s">
        <v>804</v>
      </c>
      <c r="O544" s="160" t="s">
        <v>1091</v>
      </c>
      <c r="P544" s="160" t="s">
        <v>1118</v>
      </c>
      <c r="Q544" s="160" t="s">
        <v>1087</v>
      </c>
      <c r="R544" s="162" t="s">
        <v>513</v>
      </c>
      <c r="S544" s="160" t="s">
        <v>1087</v>
      </c>
      <c r="T544" s="160" t="s">
        <v>1141</v>
      </c>
      <c r="U544" s="160" t="s">
        <v>805</v>
      </c>
      <c r="V544" s="160" t="s">
        <v>344</v>
      </c>
    </row>
    <row r="545" spans="2:22" ht="11.25">
      <c r="B545" s="161" t="s">
        <v>1057</v>
      </c>
      <c r="C545" s="161" t="s">
        <v>1057</v>
      </c>
      <c r="D545" s="161" t="s">
        <v>1057</v>
      </c>
      <c r="E545" s="161" t="s">
        <v>1057</v>
      </c>
      <c r="F545" s="161">
        <v>7</v>
      </c>
      <c r="G545" s="161" t="s">
        <v>1057</v>
      </c>
      <c r="H545" s="161" t="s">
        <v>1057</v>
      </c>
      <c r="I545" s="161" t="s">
        <v>1057</v>
      </c>
      <c r="J545" s="161">
        <v>7</v>
      </c>
      <c r="K545" s="161">
        <v>7</v>
      </c>
      <c r="L545" s="160" t="s">
        <v>1057</v>
      </c>
      <c r="M545" s="160" t="s">
        <v>520</v>
      </c>
      <c r="N545" s="160" t="s">
        <v>826</v>
      </c>
      <c r="O545" s="160" t="s">
        <v>1091</v>
      </c>
      <c r="P545" s="160" t="s">
        <v>1118</v>
      </c>
      <c r="Q545" s="160" t="s">
        <v>1087</v>
      </c>
      <c r="R545" s="162" t="s">
        <v>513</v>
      </c>
      <c r="S545" s="160" t="s">
        <v>1087</v>
      </c>
      <c r="T545" s="160" t="s">
        <v>1090</v>
      </c>
      <c r="U545" s="160" t="s">
        <v>805</v>
      </c>
      <c r="V545" s="160" t="s">
        <v>344</v>
      </c>
    </row>
    <row r="546" spans="2:22" ht="11.25">
      <c r="B546" s="161" t="s">
        <v>1057</v>
      </c>
      <c r="C546" s="161" t="s">
        <v>1057</v>
      </c>
      <c r="D546" s="161">
        <v>6</v>
      </c>
      <c r="E546" s="161" t="s">
        <v>1057</v>
      </c>
      <c r="F546" s="161" t="s">
        <v>1057</v>
      </c>
      <c r="G546" s="161" t="s">
        <v>1057</v>
      </c>
      <c r="H546" s="161" t="s">
        <v>1057</v>
      </c>
      <c r="I546" s="161" t="s">
        <v>1057</v>
      </c>
      <c r="J546" s="161" t="s">
        <v>1057</v>
      </c>
      <c r="K546" s="161" t="s">
        <v>1057</v>
      </c>
      <c r="L546" s="160" t="s">
        <v>1057</v>
      </c>
      <c r="M546" s="160" t="s">
        <v>521</v>
      </c>
      <c r="N546" s="160" t="s">
        <v>1162</v>
      </c>
      <c r="O546" s="160" t="s">
        <v>1086</v>
      </c>
      <c r="P546" s="160" t="s">
        <v>1118</v>
      </c>
      <c r="Q546" s="160" t="s">
        <v>799</v>
      </c>
      <c r="R546" s="162" t="s">
        <v>522</v>
      </c>
      <c r="S546" s="160" t="str">
        <f>CONCATENATE("Up to ",Data!E25," rnds")</f>
        <v>Up to 1 rnds</v>
      </c>
      <c r="T546" s="160" t="s">
        <v>1087</v>
      </c>
      <c r="U546" s="160" t="s">
        <v>805</v>
      </c>
      <c r="V546" s="160" t="s">
        <v>1057</v>
      </c>
    </row>
    <row r="547" spans="2:22" ht="11.25">
      <c r="B547" s="161" t="s">
        <v>1057</v>
      </c>
      <c r="C547" s="161" t="s">
        <v>1057</v>
      </c>
      <c r="D547" s="161" t="s">
        <v>1057</v>
      </c>
      <c r="E547" s="161" t="s">
        <v>1057</v>
      </c>
      <c r="F547" s="161" t="s">
        <v>1057</v>
      </c>
      <c r="G547" s="161">
        <v>9</v>
      </c>
      <c r="H547" s="161" t="s">
        <v>1057</v>
      </c>
      <c r="I547" s="161" t="s">
        <v>1057</v>
      </c>
      <c r="J547" s="161">
        <v>8</v>
      </c>
      <c r="K547" s="161">
        <v>8</v>
      </c>
      <c r="L547" s="160" t="s">
        <v>1057</v>
      </c>
      <c r="M547" s="160" t="s">
        <v>523</v>
      </c>
      <c r="N547" s="160" t="s">
        <v>804</v>
      </c>
      <c r="O547" s="160" t="s">
        <v>1091</v>
      </c>
      <c r="P547" s="160" t="s">
        <v>1114</v>
      </c>
      <c r="Q547" s="160" t="str">
        <f>CONCATENATE(25+(FLOOR(Data!E25/2,1)*5)," ft.")</f>
        <v>25 ft.</v>
      </c>
      <c r="R547" s="162" t="str">
        <f>CONCATENATE("Target: One location (",Data!E25," 10-ft. cubes) or one object")</f>
        <v>Target: One location (1 10-ft. cubes) or one object</v>
      </c>
      <c r="S547" s="160" t="str">
        <f>CONCATENATE(Data!E25*2," hours [D]")</f>
        <v>2 hours [D]</v>
      </c>
      <c r="T547" s="160" t="s">
        <v>1087</v>
      </c>
      <c r="U547" s="160" t="s">
        <v>805</v>
      </c>
      <c r="V547" s="160" t="s">
        <v>1088</v>
      </c>
    </row>
    <row r="548" spans="2:22" ht="11.25">
      <c r="B548" s="161" t="s">
        <v>1057</v>
      </c>
      <c r="C548" s="161" t="s">
        <v>1057</v>
      </c>
      <c r="D548" s="161" t="s">
        <v>1057</v>
      </c>
      <c r="E548" s="161" t="s">
        <v>1057</v>
      </c>
      <c r="F548" s="161" t="s">
        <v>1057</v>
      </c>
      <c r="G548" s="161" t="s">
        <v>1057</v>
      </c>
      <c r="H548" s="161" t="s">
        <v>1057</v>
      </c>
      <c r="I548" s="161" t="s">
        <v>1057</v>
      </c>
      <c r="J548" s="161">
        <v>5</v>
      </c>
      <c r="K548" s="161">
        <v>5</v>
      </c>
      <c r="L548" s="160" t="s">
        <v>1057</v>
      </c>
      <c r="M548" s="160" t="s">
        <v>524</v>
      </c>
      <c r="N548" s="160" t="s">
        <v>811</v>
      </c>
      <c r="O548" s="160" t="s">
        <v>1067</v>
      </c>
      <c r="P548" s="160" t="s">
        <v>1059</v>
      </c>
      <c r="Q548" s="160" t="str">
        <f>CONCATENATE(400+(40*Data!E25)," ft.")</f>
        <v>440 ft.</v>
      </c>
      <c r="R548" s="162" t="s">
        <v>1341</v>
      </c>
      <c r="S548" s="160" t="s">
        <v>1087</v>
      </c>
      <c r="T548" s="160" t="s">
        <v>1087</v>
      </c>
      <c r="U548" s="160" t="s">
        <v>1087</v>
      </c>
      <c r="V548" s="160" t="s">
        <v>1057</v>
      </c>
    </row>
    <row r="549" spans="2:22" ht="11.25">
      <c r="B549" s="161" t="s">
        <v>1057</v>
      </c>
      <c r="C549" s="161" t="s">
        <v>1057</v>
      </c>
      <c r="D549" s="161" t="s">
        <v>1057</v>
      </c>
      <c r="E549" s="161" t="s">
        <v>1057</v>
      </c>
      <c r="F549" s="161" t="s">
        <v>1057</v>
      </c>
      <c r="G549" s="161" t="s">
        <v>1057</v>
      </c>
      <c r="H549" s="161" t="s">
        <v>1057</v>
      </c>
      <c r="I549" s="161" t="s">
        <v>1057</v>
      </c>
      <c r="J549" s="161">
        <v>8</v>
      </c>
      <c r="K549" s="161">
        <v>8</v>
      </c>
      <c r="L549" s="160" t="s">
        <v>1057</v>
      </c>
      <c r="M549" s="160" t="s">
        <v>525</v>
      </c>
      <c r="N549" s="160" t="s">
        <v>1162</v>
      </c>
      <c r="O549" s="160" t="s">
        <v>1091</v>
      </c>
      <c r="P549" s="160" t="s">
        <v>1059</v>
      </c>
      <c r="Q549" s="160" t="str">
        <f>CONCATENATE(25+(FLOOR(Data!E25/2,1)*5)," ft.")</f>
        <v>25 ft.</v>
      </c>
      <c r="R549" s="162" t="str">
        <f>CONCATENATE("Effect: ",Data!E25," ft. diameter sphere, centered around creatures or objects")</f>
        <v>Effect: 1 ft. diameter sphere, centered around creatures or objects</v>
      </c>
      <c r="S549" s="160" t="str">
        <f>CONCATENATE(Data!E25," min. [D]")</f>
        <v>1 min. [D]</v>
      </c>
      <c r="T549" s="160" t="s">
        <v>526</v>
      </c>
      <c r="U549" s="160" t="s">
        <v>1217</v>
      </c>
      <c r="V549" s="160" t="s">
        <v>1057</v>
      </c>
    </row>
    <row r="550" spans="2:22" ht="11.25">
      <c r="B550" s="161" t="s">
        <v>1057</v>
      </c>
      <c r="C550" s="161" t="s">
        <v>1057</v>
      </c>
      <c r="D550" s="161" t="s">
        <v>1057</v>
      </c>
      <c r="E550" s="161" t="s">
        <v>1057</v>
      </c>
      <c r="F550" s="161" t="s">
        <v>1057</v>
      </c>
      <c r="G550" s="161" t="s">
        <v>1057</v>
      </c>
      <c r="H550" s="161" t="s">
        <v>1057</v>
      </c>
      <c r="I550" s="161" t="s">
        <v>1057</v>
      </c>
      <c r="J550" s="161">
        <v>5</v>
      </c>
      <c r="K550" s="161">
        <v>5</v>
      </c>
      <c r="L550" s="160" t="s">
        <v>1057</v>
      </c>
      <c r="M550" s="160" t="s">
        <v>527</v>
      </c>
      <c r="N550" s="160" t="s">
        <v>822</v>
      </c>
      <c r="O550" s="160" t="s">
        <v>1091</v>
      </c>
      <c r="P550" s="160" t="s">
        <v>1059</v>
      </c>
      <c r="Q550" s="160" t="str">
        <f>CONCATENATE(25+(FLOOR(Data!E25/2,1)*5)," ft.")</f>
        <v>25 ft.</v>
      </c>
      <c r="R550" s="162" t="str">
        <f>CONCATENATE("Targets: You and ",FLOOR(Data!E25/3,1)," willing creatures within 30 ft. of each other")</f>
        <v>Targets: You and 0 willing creatures within 30 ft. of each other</v>
      </c>
      <c r="S550" s="160" t="str">
        <f>CONCATENATE(Data!E25*10," min. [D]")</f>
        <v>10 min. [D]</v>
      </c>
      <c r="T550" s="160" t="s">
        <v>1061</v>
      </c>
      <c r="U550" s="160" t="s">
        <v>801</v>
      </c>
      <c r="V550" s="160" t="s">
        <v>1057</v>
      </c>
    </row>
    <row r="551" spans="2:22" ht="11.25">
      <c r="B551" s="161" t="s">
        <v>1057</v>
      </c>
      <c r="C551" s="161" t="s">
        <v>1057</v>
      </c>
      <c r="D551" s="161" t="s">
        <v>1057</v>
      </c>
      <c r="E551" s="161" t="s">
        <v>1057</v>
      </c>
      <c r="F551" s="161" t="s">
        <v>1057</v>
      </c>
      <c r="G551" s="161" t="s">
        <v>1057</v>
      </c>
      <c r="H551" s="161" t="s">
        <v>1057</v>
      </c>
      <c r="I551" s="161" t="s">
        <v>1057</v>
      </c>
      <c r="J551" s="161">
        <v>5</v>
      </c>
      <c r="K551" s="161">
        <v>5</v>
      </c>
      <c r="L551" s="160" t="s">
        <v>529</v>
      </c>
      <c r="M551" s="160" t="s">
        <v>528</v>
      </c>
      <c r="N551" s="160" t="s">
        <v>815</v>
      </c>
      <c r="O551" s="160" t="s">
        <v>1104</v>
      </c>
      <c r="P551" s="160" t="s">
        <v>1059</v>
      </c>
      <c r="Q551" s="160" t="s">
        <v>1119</v>
      </c>
      <c r="R551" s="162" t="s">
        <v>1323</v>
      </c>
      <c r="S551" s="160" t="s">
        <v>1069</v>
      </c>
      <c r="T551" s="160" t="s">
        <v>1324</v>
      </c>
      <c r="U551" s="160" t="s">
        <v>1325</v>
      </c>
      <c r="V551" s="160" t="s">
        <v>1057</v>
      </c>
    </row>
    <row r="552" spans="2:22" ht="11.25">
      <c r="B552" s="161" t="s">
        <v>1057</v>
      </c>
      <c r="C552" s="161" t="s">
        <v>1057</v>
      </c>
      <c r="D552" s="161" t="s">
        <v>1057</v>
      </c>
      <c r="E552" s="161" t="s">
        <v>1057</v>
      </c>
      <c r="F552" s="161" t="s">
        <v>1057</v>
      </c>
      <c r="G552" s="161" t="s">
        <v>1057</v>
      </c>
      <c r="H552" s="161" t="s">
        <v>1057</v>
      </c>
      <c r="I552" s="161" t="s">
        <v>1057</v>
      </c>
      <c r="J552" s="161">
        <v>7</v>
      </c>
      <c r="K552" s="161">
        <v>7</v>
      </c>
      <c r="L552" s="160" t="s">
        <v>1057</v>
      </c>
      <c r="M552" s="160" t="s">
        <v>530</v>
      </c>
      <c r="N552" s="160" t="s">
        <v>815</v>
      </c>
      <c r="O552" s="160" t="s">
        <v>1104</v>
      </c>
      <c r="P552" s="160" t="s">
        <v>1059</v>
      </c>
      <c r="Q552" s="160" t="s">
        <v>799</v>
      </c>
      <c r="R552" s="162" t="str">
        <f>CONCATENATE("Target: One touched object of up to ",Data!E25*50," lbs and ",Data!E25*3,"cu. ft.")</f>
        <v>Target: One touched object of up to 50 lbs and 3cu. ft.</v>
      </c>
      <c r="S552" s="160" t="s">
        <v>1069</v>
      </c>
      <c r="T552" s="160" t="s">
        <v>1169</v>
      </c>
      <c r="U552" s="160" t="s">
        <v>1217</v>
      </c>
      <c r="V552" s="160" t="s">
        <v>1057</v>
      </c>
    </row>
    <row r="553" spans="2:22" ht="11.25">
      <c r="B553" s="161" t="s">
        <v>1057</v>
      </c>
      <c r="C553" s="161" t="s">
        <v>1057</v>
      </c>
      <c r="D553" s="161" t="s">
        <v>1057</v>
      </c>
      <c r="E553" s="161" t="s">
        <v>1057</v>
      </c>
      <c r="F553" s="161" t="s">
        <v>1057</v>
      </c>
      <c r="G553" s="161" t="s">
        <v>1057</v>
      </c>
      <c r="H553" s="161" t="s">
        <v>1057</v>
      </c>
      <c r="I553" s="161" t="s">
        <v>1057</v>
      </c>
      <c r="J553" s="161">
        <v>7</v>
      </c>
      <c r="K553" s="161">
        <v>7</v>
      </c>
      <c r="L553" s="160" t="s">
        <v>532</v>
      </c>
      <c r="M553" s="160" t="s">
        <v>531</v>
      </c>
      <c r="N553" s="160" t="s">
        <v>815</v>
      </c>
      <c r="O553" s="160" t="s">
        <v>1104</v>
      </c>
      <c r="P553" s="160" t="s">
        <v>1059</v>
      </c>
      <c r="Q553" s="160" t="s">
        <v>1119</v>
      </c>
      <c r="R553" s="162" t="s">
        <v>1323</v>
      </c>
      <c r="S553" s="160" t="s">
        <v>1069</v>
      </c>
      <c r="T553" s="160" t="s">
        <v>1324</v>
      </c>
      <c r="U553" s="160" t="s">
        <v>1325</v>
      </c>
      <c r="V553" s="160" t="s">
        <v>1057</v>
      </c>
    </row>
    <row r="554" spans="2:22" ht="11.25">
      <c r="B554" s="161" t="s">
        <v>1057</v>
      </c>
      <c r="C554" s="161" t="s">
        <v>1057</v>
      </c>
      <c r="D554" s="161" t="s">
        <v>1057</v>
      </c>
      <c r="E554" s="161" t="s">
        <v>1057</v>
      </c>
      <c r="F554" s="161" t="s">
        <v>1057</v>
      </c>
      <c r="G554" s="161" t="s">
        <v>1057</v>
      </c>
      <c r="H554" s="161" t="s">
        <v>1057</v>
      </c>
      <c r="I554" s="161" t="s">
        <v>1057</v>
      </c>
      <c r="J554" s="161">
        <v>9</v>
      </c>
      <c r="K554" s="161">
        <v>9</v>
      </c>
      <c r="L554" s="160" t="s">
        <v>1057</v>
      </c>
      <c r="M554" s="160" t="s">
        <v>533</v>
      </c>
      <c r="N554" s="160" t="s">
        <v>815</v>
      </c>
      <c r="O554" s="160" t="s">
        <v>1352</v>
      </c>
      <c r="P554" s="160" t="s">
        <v>1118</v>
      </c>
      <c r="Q554" s="160" t="s">
        <v>1124</v>
      </c>
      <c r="R554" s="162" t="s">
        <v>534</v>
      </c>
      <c r="S554" s="160" t="str">
        <f>CONCATENATE(Data!E25*10," min. [D]")</f>
        <v>10 min. [D]</v>
      </c>
      <c r="T554" s="160" t="s">
        <v>1061</v>
      </c>
      <c r="U554" s="160" t="s">
        <v>805</v>
      </c>
      <c r="V554" s="160" t="s">
        <v>1131</v>
      </c>
    </row>
    <row r="555" spans="2:22" ht="11.25">
      <c r="B555" s="161" t="s">
        <v>1057</v>
      </c>
      <c r="C555" s="161" t="s">
        <v>1057</v>
      </c>
      <c r="D555" s="161" t="s">
        <v>1057</v>
      </c>
      <c r="E555" s="161" t="s">
        <v>1057</v>
      </c>
      <c r="F555" s="161" t="s">
        <v>1057</v>
      </c>
      <c r="G555" s="161" t="s">
        <v>1057</v>
      </c>
      <c r="H555" s="161" t="s">
        <v>1057</v>
      </c>
      <c r="I555" s="161" t="s">
        <v>1057</v>
      </c>
      <c r="J555" s="161">
        <v>8</v>
      </c>
      <c r="K555" s="161">
        <v>8</v>
      </c>
      <c r="L555" s="160" t="s">
        <v>1057</v>
      </c>
      <c r="M555" s="160" t="s">
        <v>535</v>
      </c>
      <c r="N555" s="160" t="s">
        <v>811</v>
      </c>
      <c r="O555" s="160" t="s">
        <v>1091</v>
      </c>
      <c r="P555" s="160" t="s">
        <v>1059</v>
      </c>
      <c r="Q555" s="160" t="s">
        <v>799</v>
      </c>
      <c r="R555" s="162" t="s">
        <v>1152</v>
      </c>
      <c r="S555" s="160" t="s">
        <v>800</v>
      </c>
      <c r="T555" s="160" t="s">
        <v>1090</v>
      </c>
      <c r="U555" s="160" t="s">
        <v>805</v>
      </c>
      <c r="V555" s="160" t="s">
        <v>344</v>
      </c>
    </row>
    <row r="556" spans="2:22" ht="11.25">
      <c r="B556" s="161" t="s">
        <v>1057</v>
      </c>
      <c r="C556" s="161" t="s">
        <v>1057</v>
      </c>
      <c r="D556" s="161" t="s">
        <v>1057</v>
      </c>
      <c r="E556" s="161" t="s">
        <v>1057</v>
      </c>
      <c r="F556" s="161" t="s">
        <v>1057</v>
      </c>
      <c r="G556" s="161" t="s">
        <v>1057</v>
      </c>
      <c r="H556" s="161" t="s">
        <v>1057</v>
      </c>
      <c r="I556" s="161" t="s">
        <v>1057</v>
      </c>
      <c r="J556" s="161">
        <v>9</v>
      </c>
      <c r="K556" s="161">
        <v>9</v>
      </c>
      <c r="L556" s="160" t="s">
        <v>537</v>
      </c>
      <c r="M556" s="160" t="s">
        <v>536</v>
      </c>
      <c r="N556" s="160" t="s">
        <v>811</v>
      </c>
      <c r="O556" s="160" t="s">
        <v>1104</v>
      </c>
      <c r="P556" s="160" t="s">
        <v>1059</v>
      </c>
      <c r="Q556" s="160" t="s">
        <v>817</v>
      </c>
      <c r="R556" s="162" t="s">
        <v>1084</v>
      </c>
      <c r="S556" s="160" t="s">
        <v>1087</v>
      </c>
      <c r="T556" s="160" t="s">
        <v>1061</v>
      </c>
      <c r="U556" s="160" t="s">
        <v>801</v>
      </c>
      <c r="V556" s="160" t="s">
        <v>1057</v>
      </c>
    </row>
    <row r="557" spans="2:22" ht="11.25">
      <c r="B557" s="161" t="s">
        <v>1057</v>
      </c>
      <c r="C557" s="161" t="s">
        <v>1057</v>
      </c>
      <c r="D557" s="161">
        <v>3</v>
      </c>
      <c r="E557" s="161" t="s">
        <v>1057</v>
      </c>
      <c r="F557" s="161" t="s">
        <v>1057</v>
      </c>
      <c r="G557" s="161" t="s">
        <v>1057</v>
      </c>
      <c r="H557" s="161" t="s">
        <v>1057</v>
      </c>
      <c r="I557" s="161" t="s">
        <v>1057</v>
      </c>
      <c r="J557" s="161">
        <v>3</v>
      </c>
      <c r="K557" s="161">
        <v>3</v>
      </c>
      <c r="L557" s="160" t="s">
        <v>1057</v>
      </c>
      <c r="M557" s="160" t="s">
        <v>538</v>
      </c>
      <c r="N557" s="160" t="s">
        <v>1162</v>
      </c>
      <c r="O557" s="160" t="s">
        <v>1091</v>
      </c>
      <c r="P557" s="160" t="s">
        <v>1059</v>
      </c>
      <c r="Q557" s="160" t="s">
        <v>1228</v>
      </c>
      <c r="R557" s="162" t="s">
        <v>539</v>
      </c>
      <c r="S557" s="160" t="str">
        <f>CONCATENATE(Data!E25*2," hours [D]")</f>
        <v>2 hours [D]</v>
      </c>
      <c r="T557" s="160" t="s">
        <v>1061</v>
      </c>
      <c r="U557" s="160" t="s">
        <v>801</v>
      </c>
      <c r="V557" s="160" t="s">
        <v>1057</v>
      </c>
    </row>
    <row r="558" spans="2:22" ht="11.25">
      <c r="B558" s="161">
        <v>3</v>
      </c>
      <c r="C558" s="161" t="s">
        <v>1057</v>
      </c>
      <c r="D558" s="161">
        <v>2</v>
      </c>
      <c r="E558" s="161" t="s">
        <v>1057</v>
      </c>
      <c r="F558" s="161" t="s">
        <v>1057</v>
      </c>
      <c r="G558" s="161" t="s">
        <v>1057</v>
      </c>
      <c r="H558" s="161" t="s">
        <v>1057</v>
      </c>
      <c r="I558" s="161" t="s">
        <v>1057</v>
      </c>
      <c r="J558" s="161">
        <v>3</v>
      </c>
      <c r="K558" s="161">
        <v>3</v>
      </c>
      <c r="L558" s="160" t="s">
        <v>1057</v>
      </c>
      <c r="M558" s="160" t="s">
        <v>933</v>
      </c>
      <c r="N558" s="160" t="s">
        <v>822</v>
      </c>
      <c r="O558" s="160" t="s">
        <v>1289</v>
      </c>
      <c r="P558" s="160" t="s">
        <v>1059</v>
      </c>
      <c r="Q558" s="160" t="s">
        <v>799</v>
      </c>
      <c r="R558" s="162" t="s">
        <v>1152</v>
      </c>
      <c r="S558" s="160" t="str">
        <f>CONCATENATE(Data!E25*10," min.")</f>
        <v>10 min.</v>
      </c>
      <c r="T558" s="160" t="s">
        <v>1153</v>
      </c>
      <c r="U558" s="160" t="s">
        <v>801</v>
      </c>
      <c r="V558" s="160" t="s">
        <v>1057</v>
      </c>
    </row>
    <row r="559" spans="2:22" ht="11.25">
      <c r="B559" s="161" t="s">
        <v>1057</v>
      </c>
      <c r="C559" s="161" t="s">
        <v>1057</v>
      </c>
      <c r="D559" s="161">
        <v>2</v>
      </c>
      <c r="E559" s="161">
        <v>2</v>
      </c>
      <c r="F559" s="161">
        <v>2</v>
      </c>
      <c r="G559" s="161" t="s">
        <v>1057</v>
      </c>
      <c r="H559" s="161" t="s">
        <v>1057</v>
      </c>
      <c r="I559" s="161" t="s">
        <v>1057</v>
      </c>
      <c r="J559" s="161">
        <v>2</v>
      </c>
      <c r="K559" s="161">
        <v>2</v>
      </c>
      <c r="L559" s="160" t="s">
        <v>418</v>
      </c>
      <c r="M559" s="160" t="s">
        <v>871</v>
      </c>
      <c r="N559" s="160" t="s">
        <v>1162</v>
      </c>
      <c r="O559" s="160" t="s">
        <v>1064</v>
      </c>
      <c r="P559" s="160" t="s">
        <v>1059</v>
      </c>
      <c r="Q559" s="160" t="str">
        <f>CONCATENATE(25+(FLOOR(Data!E25/2,1)*5)," ft.")</f>
        <v>25 ft.</v>
      </c>
      <c r="R559" s="162" t="s">
        <v>419</v>
      </c>
      <c r="S559" s="160" t="s">
        <v>1069</v>
      </c>
      <c r="T559" s="160" t="s">
        <v>1087</v>
      </c>
      <c r="U559" s="160" t="s">
        <v>1217</v>
      </c>
      <c r="V559" s="160" t="s">
        <v>1057</v>
      </c>
    </row>
    <row r="560" spans="2:22" ht="11.25">
      <c r="B560" s="161" t="s">
        <v>1057</v>
      </c>
      <c r="C560" s="161" t="s">
        <v>1057</v>
      </c>
      <c r="D560" s="161" t="s">
        <v>1057</v>
      </c>
      <c r="E560" s="161" t="s">
        <v>1057</v>
      </c>
      <c r="F560" s="161" t="s">
        <v>1057</v>
      </c>
      <c r="G560" s="161" t="s">
        <v>1057</v>
      </c>
      <c r="H560" s="161" t="s">
        <v>1057</v>
      </c>
      <c r="I560" s="161" t="s">
        <v>1057</v>
      </c>
      <c r="J560" s="161">
        <v>2</v>
      </c>
      <c r="K560" s="161">
        <v>2</v>
      </c>
      <c r="L560" s="160" t="s">
        <v>1057</v>
      </c>
      <c r="M560" s="160" t="s">
        <v>452</v>
      </c>
      <c r="N560" s="160" t="s">
        <v>826</v>
      </c>
      <c r="O560" s="160" t="s">
        <v>1067</v>
      </c>
      <c r="P560" s="160" t="s">
        <v>1059</v>
      </c>
      <c r="Q560" s="160" t="str">
        <f>CONCATENATE(100+(10*Data!E25)," ft.")</f>
        <v>110 ft.</v>
      </c>
      <c r="R560" s="162" t="s">
        <v>453</v>
      </c>
      <c r="S560" s="160" t="str">
        <f>CONCATENATE(Data!E25," min. [D]")</f>
        <v>1 min. [D]</v>
      </c>
      <c r="T560" s="160" t="s">
        <v>1061</v>
      </c>
      <c r="U560" s="160" t="s">
        <v>801</v>
      </c>
      <c r="V560" s="160" t="s">
        <v>1057</v>
      </c>
    </row>
    <row r="561" spans="2:22" ht="11.25">
      <c r="B561" s="161" t="s">
        <v>1057</v>
      </c>
      <c r="C561" s="161" t="s">
        <v>1057</v>
      </c>
      <c r="D561" s="161" t="s">
        <v>1057</v>
      </c>
      <c r="E561" s="161" t="s">
        <v>1057</v>
      </c>
      <c r="F561" s="161" t="s">
        <v>1057</v>
      </c>
      <c r="G561" s="161" t="s">
        <v>1057</v>
      </c>
      <c r="H561" s="161" t="s">
        <v>1057</v>
      </c>
      <c r="I561" s="161" t="s">
        <v>1057</v>
      </c>
      <c r="J561" s="161">
        <v>6</v>
      </c>
      <c r="K561" s="161">
        <v>6</v>
      </c>
      <c r="L561" s="160" t="s">
        <v>1057</v>
      </c>
      <c r="M561" s="160" t="s">
        <v>542</v>
      </c>
      <c r="N561" s="160" t="s">
        <v>811</v>
      </c>
      <c r="O561" s="160" t="s">
        <v>1091</v>
      </c>
      <c r="P561" s="160" t="s">
        <v>1059</v>
      </c>
      <c r="Q561" s="160" t="s">
        <v>817</v>
      </c>
      <c r="R561" s="162" t="s">
        <v>1084</v>
      </c>
      <c r="S561" s="160" t="str">
        <f>CONCATENATE(Data!E25," rnds")</f>
        <v>1 rnds</v>
      </c>
      <c r="T561" s="160" t="s">
        <v>1061</v>
      </c>
      <c r="U561" s="160" t="s">
        <v>801</v>
      </c>
      <c r="V561" s="160" t="s">
        <v>1057</v>
      </c>
    </row>
    <row r="562" spans="2:22" ht="11.25">
      <c r="B562" s="161" t="s">
        <v>1057</v>
      </c>
      <c r="C562" s="161" t="s">
        <v>1057</v>
      </c>
      <c r="D562" s="161" t="s">
        <v>1057</v>
      </c>
      <c r="E562" s="161" t="s">
        <v>1057</v>
      </c>
      <c r="F562" s="161" t="s">
        <v>1057</v>
      </c>
      <c r="G562" s="161">
        <v>7</v>
      </c>
      <c r="H562" s="161" t="s">
        <v>1057</v>
      </c>
      <c r="I562" s="161" t="s">
        <v>1057</v>
      </c>
      <c r="J562" s="161" t="s">
        <v>1057</v>
      </c>
      <c r="K562" s="161" t="s">
        <v>1057</v>
      </c>
      <c r="L562" s="160" t="s">
        <v>1057</v>
      </c>
      <c r="M562" s="160" t="s">
        <v>543</v>
      </c>
      <c r="N562" s="160" t="s">
        <v>811</v>
      </c>
      <c r="O562" s="160" t="s">
        <v>1071</v>
      </c>
      <c r="P562" s="160" t="s">
        <v>1059</v>
      </c>
      <c r="Q562" s="160" t="str">
        <f>CONCATENATE(400+(40*Data!E25)," ft.")</f>
        <v>440 ft.</v>
      </c>
      <c r="R562" s="162" t="s">
        <v>544</v>
      </c>
      <c r="S562" s="160" t="s">
        <v>1069</v>
      </c>
      <c r="T562" s="160" t="s">
        <v>1061</v>
      </c>
      <c r="U562" s="160" t="s">
        <v>1087</v>
      </c>
      <c r="V562" s="160" t="s">
        <v>1057</v>
      </c>
    </row>
    <row r="563" spans="2:22" ht="11.25">
      <c r="B563" s="161" t="s">
        <v>1057</v>
      </c>
      <c r="C563" s="161" t="s">
        <v>1057</v>
      </c>
      <c r="D563" s="161" t="s">
        <v>1057</v>
      </c>
      <c r="E563" s="161" t="s">
        <v>1057</v>
      </c>
      <c r="F563" s="161" t="s">
        <v>1057</v>
      </c>
      <c r="G563" s="161">
        <v>5</v>
      </c>
      <c r="H563" s="161" t="s">
        <v>1057</v>
      </c>
      <c r="I563" s="161" t="s">
        <v>1057</v>
      </c>
      <c r="J563" s="161">
        <v>5</v>
      </c>
      <c r="K563" s="161">
        <v>5</v>
      </c>
      <c r="L563" s="160" t="s">
        <v>1057</v>
      </c>
      <c r="M563" s="160" t="s">
        <v>545</v>
      </c>
      <c r="N563" s="160" t="s">
        <v>811</v>
      </c>
      <c r="O563" s="160" t="s">
        <v>1064</v>
      </c>
      <c r="P563" s="160" t="s">
        <v>1059</v>
      </c>
      <c r="Q563" s="160" t="str">
        <f>CONCATENATE(100+(10*Data!E25)," ft.")</f>
        <v>110 ft.</v>
      </c>
      <c r="R563" s="162" t="str">
        <f>CONCATENATE("Area: Up to ",Data!E25*2," 10 ft. cubes (S)")</f>
        <v>Area: Up to 2 10 ft. cubes (S)</v>
      </c>
      <c r="S563" s="160" t="s">
        <v>800</v>
      </c>
      <c r="T563" s="160" t="s">
        <v>1087</v>
      </c>
      <c r="U563" s="160" t="s">
        <v>801</v>
      </c>
      <c r="V563" s="160" t="s">
        <v>1057</v>
      </c>
    </row>
    <row r="564" spans="2:22" ht="11.25">
      <c r="B564" s="161" t="s">
        <v>1057</v>
      </c>
      <c r="C564" s="161" t="s">
        <v>1057</v>
      </c>
      <c r="D564" s="161" t="s">
        <v>1057</v>
      </c>
      <c r="E564" s="161" t="s">
        <v>1057</v>
      </c>
      <c r="F564" s="161" t="s">
        <v>1057</v>
      </c>
      <c r="G564" s="161">
        <v>5</v>
      </c>
      <c r="H564" s="161" t="s">
        <v>1057</v>
      </c>
      <c r="I564" s="161" t="s">
        <v>1057</v>
      </c>
      <c r="J564" s="161">
        <v>5</v>
      </c>
      <c r="K564" s="161">
        <v>5</v>
      </c>
      <c r="L564" s="160" t="s">
        <v>1057</v>
      </c>
      <c r="M564" s="160" t="s">
        <v>546</v>
      </c>
      <c r="N564" s="160" t="s">
        <v>811</v>
      </c>
      <c r="O564" s="160" t="s">
        <v>1064</v>
      </c>
      <c r="P564" s="160" t="s">
        <v>1059</v>
      </c>
      <c r="Q564" s="160" t="str">
        <f>CONCATENATE(100+(10*Data!E25)," ft.")</f>
        <v>110 ft.</v>
      </c>
      <c r="R564" s="162" t="str">
        <f>CONCATENATE("Area: Up to ",Data!E25*2," 10 ft. cubes (S)")</f>
        <v>Area: Up to 2 10 ft. cubes (S)</v>
      </c>
      <c r="S564" s="160" t="s">
        <v>1087</v>
      </c>
      <c r="T564" s="160" t="s">
        <v>1087</v>
      </c>
      <c r="U564" s="160" t="s">
        <v>801</v>
      </c>
      <c r="V564" s="160" t="s">
        <v>1057</v>
      </c>
    </row>
    <row r="565" spans="2:22" ht="11.25">
      <c r="B565" s="161" t="s">
        <v>1057</v>
      </c>
      <c r="C565" s="161" t="s">
        <v>1057</v>
      </c>
      <c r="D565" s="161" t="s">
        <v>1057</v>
      </c>
      <c r="E565" s="161" t="s">
        <v>1057</v>
      </c>
      <c r="F565" s="161" t="s">
        <v>1057</v>
      </c>
      <c r="G565" s="161">
        <v>6</v>
      </c>
      <c r="H565" s="161" t="s">
        <v>1057</v>
      </c>
      <c r="I565" s="161" t="s">
        <v>1057</v>
      </c>
      <c r="J565" s="161" t="s">
        <v>1057</v>
      </c>
      <c r="K565" s="161" t="s">
        <v>1057</v>
      </c>
      <c r="L565" s="160" t="s">
        <v>1057</v>
      </c>
      <c r="M565" s="160" t="s">
        <v>547</v>
      </c>
      <c r="N565" s="160" t="s">
        <v>815</v>
      </c>
      <c r="O565" s="160" t="s">
        <v>1067</v>
      </c>
      <c r="P565" s="160" t="s">
        <v>1059</v>
      </c>
      <c r="Q565" s="160" t="s">
        <v>1119</v>
      </c>
      <c r="R565" s="162" t="s">
        <v>1323</v>
      </c>
      <c r="S565" s="160" t="s">
        <v>1108</v>
      </c>
      <c r="T565" s="160" t="s">
        <v>1061</v>
      </c>
      <c r="U565" s="160" t="s">
        <v>801</v>
      </c>
      <c r="V565" s="160" t="s">
        <v>1057</v>
      </c>
    </row>
    <row r="566" spans="2:22" ht="11.25">
      <c r="B566" s="161" t="s">
        <v>1057</v>
      </c>
      <c r="C566" s="161">
        <v>2</v>
      </c>
      <c r="D566" s="161" t="s">
        <v>1057</v>
      </c>
      <c r="E566" s="161" t="s">
        <v>1057</v>
      </c>
      <c r="F566" s="161" t="s">
        <v>1057</v>
      </c>
      <c r="G566" s="161">
        <v>2</v>
      </c>
      <c r="H566" s="161" t="s">
        <v>1057</v>
      </c>
      <c r="I566" s="161" t="s">
        <v>1057</v>
      </c>
      <c r="J566" s="161">
        <v>2</v>
      </c>
      <c r="K566" s="161">
        <v>2</v>
      </c>
      <c r="L566" s="160" t="s">
        <v>1057</v>
      </c>
      <c r="M566" s="160" t="s">
        <v>462</v>
      </c>
      <c r="N566" s="160" t="s">
        <v>811</v>
      </c>
      <c r="O566" s="160" t="s">
        <v>1091</v>
      </c>
      <c r="P566" s="160" t="s">
        <v>1059</v>
      </c>
      <c r="Q566" s="160" t="s">
        <v>799</v>
      </c>
      <c r="R566" s="162" t="s">
        <v>1152</v>
      </c>
      <c r="S566" s="160" t="str">
        <f>CONCATENATE(Data!E25*10," min.")</f>
        <v>10 min.</v>
      </c>
      <c r="T566" s="160" t="s">
        <v>1153</v>
      </c>
      <c r="U566" s="160" t="s">
        <v>1073</v>
      </c>
      <c r="V566" s="160" t="s">
        <v>1057</v>
      </c>
    </row>
    <row r="567" spans="2:22" ht="11.25">
      <c r="B567" s="161" t="s">
        <v>1057</v>
      </c>
      <c r="C567" s="161" t="s">
        <v>1057</v>
      </c>
      <c r="D567" s="161" t="s">
        <v>1057</v>
      </c>
      <c r="E567" s="161" t="s">
        <v>1057</v>
      </c>
      <c r="F567" s="161" t="s">
        <v>1057</v>
      </c>
      <c r="G567" s="161" t="s">
        <v>1057</v>
      </c>
      <c r="H567" s="161" t="s">
        <v>1057</v>
      </c>
      <c r="I567" s="161" t="s">
        <v>1057</v>
      </c>
      <c r="J567" s="161">
        <v>8</v>
      </c>
      <c r="K567" s="161">
        <v>8</v>
      </c>
      <c r="L567" s="160" t="s">
        <v>1057</v>
      </c>
      <c r="M567" s="160" t="s">
        <v>549</v>
      </c>
      <c r="N567" s="160" t="s">
        <v>815</v>
      </c>
      <c r="O567" s="160" t="s">
        <v>1087</v>
      </c>
      <c r="P567" s="160" t="s">
        <v>1087</v>
      </c>
      <c r="Q567" s="160" t="str">
        <f>CONCATENATE(25+(FLOOR(Data!E25/2,1)*5)," ft.")</f>
        <v>25 ft.</v>
      </c>
      <c r="R567" s="162" t="s">
        <v>1144</v>
      </c>
      <c r="S567" s="160" t="s">
        <v>1087</v>
      </c>
      <c r="T567" s="160" t="s">
        <v>1087</v>
      </c>
      <c r="U567" s="160" t="s">
        <v>1087</v>
      </c>
      <c r="V567" s="160" t="s">
        <v>1057</v>
      </c>
    </row>
    <row r="568" spans="2:22" ht="11.25">
      <c r="B568" s="161" t="s">
        <v>1057</v>
      </c>
      <c r="C568" s="161" t="s">
        <v>1057</v>
      </c>
      <c r="D568" s="161" t="s">
        <v>1057</v>
      </c>
      <c r="E568" s="161" t="s">
        <v>1057</v>
      </c>
      <c r="F568" s="161" t="s">
        <v>1057</v>
      </c>
      <c r="G568" s="161">
        <v>2</v>
      </c>
      <c r="H568" s="161" t="s">
        <v>1057</v>
      </c>
      <c r="I568" s="161">
        <v>3</v>
      </c>
      <c r="J568" s="161" t="s">
        <v>1057</v>
      </c>
      <c r="L568" s="160" t="s">
        <v>1057</v>
      </c>
      <c r="M568" s="160" t="s">
        <v>550</v>
      </c>
      <c r="N568" s="160" t="s">
        <v>811</v>
      </c>
      <c r="O568" s="160" t="s">
        <v>1071</v>
      </c>
      <c r="P568" s="160" t="s">
        <v>1059</v>
      </c>
      <c r="Q568" s="160" t="s">
        <v>817</v>
      </c>
      <c r="R568" s="162" t="s">
        <v>1084</v>
      </c>
      <c r="S568" s="160" t="str">
        <f>CONCATENATE(Data!E25," hours [D]")</f>
        <v>1 hours [D]</v>
      </c>
      <c r="T568" s="160" t="s">
        <v>1061</v>
      </c>
      <c r="U568" s="160" t="s">
        <v>801</v>
      </c>
      <c r="V568" s="160" t="s">
        <v>1057</v>
      </c>
    </row>
    <row r="569" spans="2:22" ht="11.25">
      <c r="B569" s="161" t="s">
        <v>1057</v>
      </c>
      <c r="C569" s="161" t="s">
        <v>1057</v>
      </c>
      <c r="D569" s="161" t="s">
        <v>1057</v>
      </c>
      <c r="E569" s="161" t="s">
        <v>1057</v>
      </c>
      <c r="F569" s="161" t="s">
        <v>1057</v>
      </c>
      <c r="G569" s="161">
        <v>5</v>
      </c>
      <c r="H569" s="161" t="s">
        <v>1057</v>
      </c>
      <c r="I569" s="161">
        <v>4</v>
      </c>
      <c r="J569" s="161" t="s">
        <v>1057</v>
      </c>
      <c r="K569" s="161" t="s">
        <v>1057</v>
      </c>
      <c r="L569" s="160" t="s">
        <v>1057</v>
      </c>
      <c r="M569" s="160" t="s">
        <v>551</v>
      </c>
      <c r="N569" s="160" t="s">
        <v>815</v>
      </c>
      <c r="O569" s="160" t="s">
        <v>1071</v>
      </c>
      <c r="P569" s="160" t="s">
        <v>1059</v>
      </c>
      <c r="Q569" s="160" t="s">
        <v>817</v>
      </c>
      <c r="R569" s="162" t="s">
        <v>1084</v>
      </c>
      <c r="S569" s="160" t="s">
        <v>1087</v>
      </c>
      <c r="T569" s="160" t="s">
        <v>1061</v>
      </c>
      <c r="U569" s="160" t="s">
        <v>801</v>
      </c>
      <c r="V569" s="160" t="s">
        <v>1057</v>
      </c>
    </row>
    <row r="570" spans="2:22" ht="11.25">
      <c r="B570" s="161" t="s">
        <v>1057</v>
      </c>
      <c r="C570" s="161" t="s">
        <v>1057</v>
      </c>
      <c r="D570" s="161" t="s">
        <v>1057</v>
      </c>
      <c r="E570" s="161" t="s">
        <v>1057</v>
      </c>
      <c r="F570" s="161">
        <v>9</v>
      </c>
      <c r="G570" s="161" t="s">
        <v>1057</v>
      </c>
      <c r="H570" s="161" t="s">
        <v>1057</v>
      </c>
      <c r="I570" s="161" t="s">
        <v>1057</v>
      </c>
      <c r="J570" s="161" t="s">
        <v>1057</v>
      </c>
      <c r="K570" s="161" t="s">
        <v>1057</v>
      </c>
      <c r="L570" s="160" t="s">
        <v>1057</v>
      </c>
      <c r="M570" s="160" t="s">
        <v>552</v>
      </c>
      <c r="N570" s="160" t="s">
        <v>815</v>
      </c>
      <c r="O570" s="160" t="s">
        <v>1251</v>
      </c>
      <c r="P570" s="160" t="s">
        <v>1118</v>
      </c>
      <c r="Q570" s="160" t="s">
        <v>799</v>
      </c>
      <c r="R570" s="162" t="s">
        <v>343</v>
      </c>
      <c r="S570" s="160" t="s">
        <v>1069</v>
      </c>
      <c r="T570" s="160" t="s">
        <v>1087</v>
      </c>
      <c r="U570" s="160" t="s">
        <v>1073</v>
      </c>
      <c r="V570" s="160" t="s">
        <v>553</v>
      </c>
    </row>
    <row r="571" spans="2:22" ht="11.25">
      <c r="B571" s="161">
        <v>5</v>
      </c>
      <c r="C571" s="161" t="s">
        <v>1057</v>
      </c>
      <c r="D571" s="161" t="s">
        <v>1057</v>
      </c>
      <c r="E571" s="161" t="s">
        <v>1057</v>
      </c>
      <c r="F571" s="161">
        <v>5</v>
      </c>
      <c r="G571" s="161" t="s">
        <v>1057</v>
      </c>
      <c r="H571" s="161" t="s">
        <v>1057</v>
      </c>
      <c r="I571" s="161" t="s">
        <v>1057</v>
      </c>
      <c r="J571" s="161">
        <v>6</v>
      </c>
      <c r="K571" s="161">
        <v>6</v>
      </c>
      <c r="L571" s="160" t="s">
        <v>555</v>
      </c>
      <c r="M571" s="160" t="s">
        <v>554</v>
      </c>
      <c r="N571" s="160" t="s">
        <v>822</v>
      </c>
      <c r="O571" s="160" t="s">
        <v>1091</v>
      </c>
      <c r="P571" s="160" t="s">
        <v>1059</v>
      </c>
      <c r="Q571" s="160" t="s">
        <v>799</v>
      </c>
      <c r="R571" s="162" t="s">
        <v>1152</v>
      </c>
      <c r="S571" s="160" t="str">
        <f>CONCATENATE(Data!E25," min.")</f>
        <v>1 min.</v>
      </c>
      <c r="T571" s="160" t="s">
        <v>1153</v>
      </c>
      <c r="U571" s="160" t="s">
        <v>1073</v>
      </c>
      <c r="V571" s="160" t="s">
        <v>1057</v>
      </c>
    </row>
    <row r="572" spans="2:22" ht="11.25">
      <c r="B572" s="161" t="s">
        <v>1057</v>
      </c>
      <c r="C572" s="161" t="s">
        <v>1057</v>
      </c>
      <c r="D572" s="161">
        <v>2</v>
      </c>
      <c r="E572" s="161" t="s">
        <v>1057</v>
      </c>
      <c r="F572" s="161" t="s">
        <v>1057</v>
      </c>
      <c r="G572" s="161">
        <v>2</v>
      </c>
      <c r="H572" s="161" t="s">
        <v>1057</v>
      </c>
      <c r="I572" s="161" t="s">
        <v>1057</v>
      </c>
      <c r="J572" s="161">
        <v>2</v>
      </c>
      <c r="K572" s="161">
        <v>2</v>
      </c>
      <c r="L572" s="160" t="s">
        <v>1057</v>
      </c>
      <c r="M572" s="160" t="s">
        <v>504</v>
      </c>
      <c r="N572" s="160" t="s">
        <v>815</v>
      </c>
      <c r="O572" s="160" t="s">
        <v>1064</v>
      </c>
      <c r="P572" s="160" t="s">
        <v>1108</v>
      </c>
      <c r="Q572" s="160" t="str">
        <f>CONCATENATE(25+(FLOOR(Data!E25/2,1)*5)," ft.")</f>
        <v>25 ft.</v>
      </c>
      <c r="R572" s="163" t="s">
        <v>505</v>
      </c>
      <c r="S572" s="160" t="s">
        <v>70</v>
      </c>
      <c r="T572" s="160" t="s">
        <v>1061</v>
      </c>
      <c r="U572" s="160" t="s">
        <v>801</v>
      </c>
      <c r="V572" s="160" t="s">
        <v>1057</v>
      </c>
    </row>
    <row r="573" spans="2:22" ht="11.25">
      <c r="B573" s="161" t="s">
        <v>1057</v>
      </c>
      <c r="C573" s="161" t="s">
        <v>1057</v>
      </c>
      <c r="D573" s="161" t="s">
        <v>1057</v>
      </c>
      <c r="E573" s="161" t="s">
        <v>1057</v>
      </c>
      <c r="F573" s="161">
        <v>6</v>
      </c>
      <c r="G573" s="161" t="s">
        <v>1057</v>
      </c>
      <c r="H573" s="161" t="s">
        <v>1057</v>
      </c>
      <c r="I573" s="161" t="s">
        <v>1057</v>
      </c>
      <c r="J573" s="161">
        <v>6</v>
      </c>
      <c r="K573" s="161">
        <v>6</v>
      </c>
      <c r="L573" s="160" t="s">
        <v>1057</v>
      </c>
      <c r="M573" s="160" t="s">
        <v>558</v>
      </c>
      <c r="N573" s="160" t="s">
        <v>826</v>
      </c>
      <c r="O573" s="160" t="s">
        <v>1064</v>
      </c>
      <c r="P573" s="160" t="s">
        <v>1059</v>
      </c>
      <c r="Q573" s="160" t="str">
        <f>CONCATENATE(100+(10*Data!E25)," ft.")</f>
        <v>110 ft.</v>
      </c>
      <c r="R573" s="162" t="s">
        <v>559</v>
      </c>
      <c r="S573" s="160" t="s">
        <v>1069</v>
      </c>
      <c r="T573" s="160" t="s">
        <v>1141</v>
      </c>
      <c r="U573" s="160" t="s">
        <v>805</v>
      </c>
      <c r="V573" s="160" t="s">
        <v>1134</v>
      </c>
    </row>
    <row r="574" spans="2:22" ht="11.25">
      <c r="B574" s="161" t="s">
        <v>1057</v>
      </c>
      <c r="C574" s="161" t="s">
        <v>1057</v>
      </c>
      <c r="D574" s="161" t="s">
        <v>1057</v>
      </c>
      <c r="E574" s="161" t="s">
        <v>1057</v>
      </c>
      <c r="F574" s="161" t="s">
        <v>1057</v>
      </c>
      <c r="G574" s="161" t="s">
        <v>1057</v>
      </c>
      <c r="H574" s="161" t="s">
        <v>1057</v>
      </c>
      <c r="I574" s="161" t="s">
        <v>1057</v>
      </c>
      <c r="J574" s="161">
        <v>2</v>
      </c>
      <c r="K574" s="161">
        <v>2</v>
      </c>
      <c r="L574" s="160" t="s">
        <v>1057</v>
      </c>
      <c r="M574" s="160" t="s">
        <v>541</v>
      </c>
      <c r="N574" s="160" t="s">
        <v>804</v>
      </c>
      <c r="O574" s="160" t="s">
        <v>1067</v>
      </c>
      <c r="P574" s="160" t="s">
        <v>1059</v>
      </c>
      <c r="Q574" s="160" t="s">
        <v>799</v>
      </c>
      <c r="R574" s="162" t="s">
        <v>1072</v>
      </c>
      <c r="S574" s="160" t="str">
        <f>CONCATENATE(Data!E25*10," min.")</f>
        <v>10 min.</v>
      </c>
      <c r="T574" s="160" t="s">
        <v>801</v>
      </c>
      <c r="U574" s="160" t="s">
        <v>805</v>
      </c>
      <c r="V574" s="160" t="s">
        <v>1057</v>
      </c>
    </row>
    <row r="575" spans="2:22" ht="11.25">
      <c r="B575" s="161" t="s">
        <v>1057</v>
      </c>
      <c r="C575" s="161" t="s">
        <v>1057</v>
      </c>
      <c r="D575" s="161" t="s">
        <v>1057</v>
      </c>
      <c r="E575" s="161" t="s">
        <v>1057</v>
      </c>
      <c r="F575" s="161">
        <v>5</v>
      </c>
      <c r="G575" s="161">
        <v>5</v>
      </c>
      <c r="H575" s="161" t="s">
        <v>1057</v>
      </c>
      <c r="I575" s="161" t="s">
        <v>1057</v>
      </c>
      <c r="J575" s="161" t="s">
        <v>1057</v>
      </c>
      <c r="K575" s="161" t="s">
        <v>1057</v>
      </c>
      <c r="L575" s="160" t="s">
        <v>1057</v>
      </c>
      <c r="M575" s="160" t="s">
        <v>560</v>
      </c>
      <c r="N575" s="160" t="s">
        <v>1162</v>
      </c>
      <c r="O575" s="160" t="s">
        <v>1091</v>
      </c>
      <c r="P575" s="160" t="s">
        <v>1139</v>
      </c>
      <c r="Q575" s="160" t="s">
        <v>799</v>
      </c>
      <c r="R575" s="162" t="s">
        <v>24</v>
      </c>
      <c r="S575" s="160" t="s">
        <v>1069</v>
      </c>
      <c r="T575" s="160" t="s">
        <v>1087</v>
      </c>
      <c r="U575" s="160" t="s">
        <v>1087</v>
      </c>
      <c r="V575" s="160" t="s">
        <v>1057</v>
      </c>
    </row>
    <row r="576" spans="2:22" ht="11.25">
      <c r="B576" s="161" t="s">
        <v>1057</v>
      </c>
      <c r="C576" s="161" t="s">
        <v>1057</v>
      </c>
      <c r="D576" s="161" t="s">
        <v>1057</v>
      </c>
      <c r="E576" s="161" t="s">
        <v>1057</v>
      </c>
      <c r="F576" s="161">
        <v>8</v>
      </c>
      <c r="G576" s="161" t="s">
        <v>1057</v>
      </c>
      <c r="H576" s="161" t="s">
        <v>1057</v>
      </c>
      <c r="I576" s="161" t="s">
        <v>1057</v>
      </c>
      <c r="J576" s="161" t="s">
        <v>1057</v>
      </c>
      <c r="K576" s="161" t="s">
        <v>1057</v>
      </c>
      <c r="L576" s="160" t="s">
        <v>562</v>
      </c>
      <c r="M576" s="160" t="s">
        <v>561</v>
      </c>
      <c r="N576" s="160" t="s">
        <v>845</v>
      </c>
      <c r="O576" s="160" t="s">
        <v>1086</v>
      </c>
      <c r="P576" s="160" t="s">
        <v>1059</v>
      </c>
      <c r="Q576" s="160" t="s">
        <v>1228</v>
      </c>
      <c r="R576" s="162" t="str">
        <f>CONCATENATE("Targets: ",Data!E25," creatures in a 20-ft.-radius burst centered on you")</f>
        <v>Targets: 1 creatures in a 20-ft.-radius burst centered on you</v>
      </c>
      <c r="S576" s="160" t="str">
        <f>CONCATENATE(Data!E25," rnds [D]")</f>
        <v>1 rnds [D]</v>
      </c>
      <c r="T576" s="160" t="s">
        <v>1087</v>
      </c>
      <c r="U576" s="160" t="s">
        <v>1073</v>
      </c>
      <c r="V576" s="160" t="s">
        <v>1134</v>
      </c>
    </row>
    <row r="577" spans="2:22" ht="11.25">
      <c r="B577" s="161" t="s">
        <v>1057</v>
      </c>
      <c r="C577" s="161" t="s">
        <v>1057</v>
      </c>
      <c r="D577" s="161" t="s">
        <v>1057</v>
      </c>
      <c r="E577" s="161" t="s">
        <v>1057</v>
      </c>
      <c r="F577" s="161" t="s">
        <v>1057</v>
      </c>
      <c r="G577" s="161" t="s">
        <v>1057</v>
      </c>
      <c r="H577" s="161" t="s">
        <v>1057</v>
      </c>
      <c r="I577" s="161" t="s">
        <v>1057</v>
      </c>
      <c r="J577" s="161" t="s">
        <v>1057</v>
      </c>
      <c r="K577" s="161" t="s">
        <v>1057</v>
      </c>
      <c r="L577" s="160" t="s">
        <v>564</v>
      </c>
      <c r="M577" s="160" t="s">
        <v>563</v>
      </c>
      <c r="N577" s="160" t="s">
        <v>1162</v>
      </c>
      <c r="O577" s="160" t="s">
        <v>1067</v>
      </c>
      <c r="P577" s="160" t="s">
        <v>1059</v>
      </c>
      <c r="Q577" s="160" t="str">
        <f>CONCATENATE(100+(10*Data!E25)," ft.")</f>
        <v>110 ft.</v>
      </c>
      <c r="R577" s="162" t="s">
        <v>1159</v>
      </c>
      <c r="S577" s="160" t="s">
        <v>1087</v>
      </c>
      <c r="T577" s="160" t="s">
        <v>1115</v>
      </c>
      <c r="U577" s="160" t="s">
        <v>805</v>
      </c>
      <c r="V577" s="160" t="s">
        <v>1057</v>
      </c>
    </row>
    <row r="578" spans="2:22" ht="11.25">
      <c r="B578" s="161" t="s">
        <v>1057</v>
      </c>
      <c r="C578" s="161" t="s">
        <v>1057</v>
      </c>
      <c r="D578" s="161" t="s">
        <v>1057</v>
      </c>
      <c r="E578" s="161" t="s">
        <v>1057</v>
      </c>
      <c r="F578" s="161" t="s">
        <v>1057</v>
      </c>
      <c r="G578" s="161" t="s">
        <v>1057</v>
      </c>
      <c r="H578" s="161" t="s">
        <v>1057</v>
      </c>
      <c r="I578" s="161" t="s">
        <v>1057</v>
      </c>
      <c r="J578" s="161">
        <v>2</v>
      </c>
      <c r="K578" s="161">
        <v>2</v>
      </c>
      <c r="L578" s="160" t="s">
        <v>1057</v>
      </c>
      <c r="M578" s="160" t="s">
        <v>548</v>
      </c>
      <c r="N578" s="160" t="s">
        <v>1179</v>
      </c>
      <c r="O578" s="160" t="s">
        <v>1091</v>
      </c>
      <c r="P578" s="160" t="s">
        <v>1059</v>
      </c>
      <c r="Q578" s="160" t="s">
        <v>799</v>
      </c>
      <c r="R578" s="162" t="s">
        <v>1290</v>
      </c>
      <c r="S578" s="160" t="s">
        <v>1176</v>
      </c>
      <c r="T578" s="160" t="s">
        <v>1061</v>
      </c>
      <c r="U578" s="160" t="s">
        <v>801</v>
      </c>
      <c r="V578" s="160" t="s">
        <v>1136</v>
      </c>
    </row>
    <row r="579" spans="2:22" ht="11.25">
      <c r="B579" s="161" t="s">
        <v>1057</v>
      </c>
      <c r="C579" s="161" t="s">
        <v>1057</v>
      </c>
      <c r="D579" s="161" t="s">
        <v>1057</v>
      </c>
      <c r="E579" s="161" t="s">
        <v>1057</v>
      </c>
      <c r="F579" s="161" t="s">
        <v>1057</v>
      </c>
      <c r="G579" s="161" t="s">
        <v>1057</v>
      </c>
      <c r="H579" s="161" t="s">
        <v>1057</v>
      </c>
      <c r="I579" s="161" t="s">
        <v>1057</v>
      </c>
      <c r="J579" s="161">
        <v>3</v>
      </c>
      <c r="K579" s="161">
        <v>3</v>
      </c>
      <c r="L579" s="160" t="s">
        <v>1057</v>
      </c>
      <c r="M579" s="160" t="s">
        <v>567</v>
      </c>
      <c r="N579" s="160" t="s">
        <v>826</v>
      </c>
      <c r="O579" s="160" t="s">
        <v>1067</v>
      </c>
      <c r="P579" s="160" t="s">
        <v>1059</v>
      </c>
      <c r="Q579" s="160" t="s">
        <v>799</v>
      </c>
      <c r="R579" s="162" t="s">
        <v>1072</v>
      </c>
      <c r="S579" s="160" t="s">
        <v>1087</v>
      </c>
      <c r="T579" s="160" t="s">
        <v>1061</v>
      </c>
      <c r="U579" s="160" t="s">
        <v>805</v>
      </c>
      <c r="V579" s="160" t="s">
        <v>1057</v>
      </c>
    </row>
    <row r="580" spans="2:22" ht="11.25">
      <c r="B580" s="161" t="s">
        <v>1057</v>
      </c>
      <c r="C580" s="161" t="s">
        <v>1057</v>
      </c>
      <c r="D580" s="161">
        <v>6</v>
      </c>
      <c r="E580" s="161" t="s">
        <v>1057</v>
      </c>
      <c r="F580" s="161" t="s">
        <v>1057</v>
      </c>
      <c r="G580" s="161" t="s">
        <v>1057</v>
      </c>
      <c r="H580" s="161" t="s">
        <v>1057</v>
      </c>
      <c r="I580" s="161" t="s">
        <v>1057</v>
      </c>
      <c r="J580" s="161">
        <v>6</v>
      </c>
      <c r="K580" s="161">
        <v>6</v>
      </c>
      <c r="L580" s="160" t="s">
        <v>1057</v>
      </c>
      <c r="M580" s="160" t="s">
        <v>568</v>
      </c>
      <c r="N580" s="160" t="s">
        <v>1179</v>
      </c>
      <c r="O580" s="160" t="s">
        <v>1067</v>
      </c>
      <c r="P580" s="160" t="s">
        <v>1059</v>
      </c>
      <c r="Q580" s="160" t="str">
        <f>CONCATENATE(400+(40*Data!E25)," ft.")</f>
        <v>440 ft.</v>
      </c>
      <c r="R580" s="162" t="s">
        <v>1212</v>
      </c>
      <c r="S580" s="160" t="str">
        <f>CONCATENATE("Con. + ",Data!E25," hours [D]")</f>
        <v>Con. + 1 hours [D]</v>
      </c>
      <c r="T580" s="160" t="s">
        <v>1087</v>
      </c>
      <c r="U580" s="160" t="s">
        <v>1087</v>
      </c>
      <c r="V580" s="160" t="s">
        <v>1057</v>
      </c>
    </row>
    <row r="581" spans="2:22" ht="11.25">
      <c r="B581" s="161" t="s">
        <v>1057</v>
      </c>
      <c r="C581" s="161" t="s">
        <v>1057</v>
      </c>
      <c r="D581" s="161">
        <v>2</v>
      </c>
      <c r="E581" s="161">
        <v>2</v>
      </c>
      <c r="F581" s="161">
        <v>2</v>
      </c>
      <c r="G581" s="161" t="s">
        <v>1057</v>
      </c>
      <c r="H581" s="161" t="s">
        <v>1057</v>
      </c>
      <c r="I581" s="161" t="s">
        <v>1057</v>
      </c>
      <c r="J581" s="161">
        <v>2</v>
      </c>
      <c r="K581" s="161">
        <v>2</v>
      </c>
      <c r="L581" s="160" t="s">
        <v>1057</v>
      </c>
      <c r="M581" s="160" t="s">
        <v>877</v>
      </c>
      <c r="N581" s="160" t="s">
        <v>815</v>
      </c>
      <c r="O581" s="160" t="s">
        <v>1077</v>
      </c>
      <c r="P581" s="160" t="s">
        <v>1108</v>
      </c>
      <c r="Q581" s="160" t="str">
        <f>CONCATENATE(25+(FLOOR(Data!E25/2,1)*5)," ft.")</f>
        <v>25 ft.</v>
      </c>
      <c r="R581" s="162" t="s">
        <v>485</v>
      </c>
      <c r="S581" s="160" t="str">
        <f>CONCATENATE(Data!E25," rnds [D]")</f>
        <v>1 rnds [D]</v>
      </c>
      <c r="T581" s="160" t="s">
        <v>1061</v>
      </c>
      <c r="U581" s="160" t="s">
        <v>801</v>
      </c>
      <c r="V581" s="160" t="s">
        <v>1057</v>
      </c>
    </row>
    <row r="582" spans="2:22" ht="11.25">
      <c r="B582" s="161" t="s">
        <v>1057</v>
      </c>
      <c r="C582" s="161">
        <v>2</v>
      </c>
      <c r="D582" s="161">
        <v>1</v>
      </c>
      <c r="E582" s="161" t="s">
        <v>1057</v>
      </c>
      <c r="F582" s="161">
        <v>2</v>
      </c>
      <c r="G582" s="161" t="s">
        <v>1057</v>
      </c>
      <c r="H582" s="161">
        <v>2</v>
      </c>
      <c r="I582" s="161" t="s">
        <v>1057</v>
      </c>
      <c r="J582" s="161" t="s">
        <v>1057</v>
      </c>
      <c r="K582" s="161" t="s">
        <v>1057</v>
      </c>
      <c r="L582" s="160" t="s">
        <v>1057</v>
      </c>
      <c r="M582" s="160" t="s">
        <v>878</v>
      </c>
      <c r="N582" s="160" t="s">
        <v>845</v>
      </c>
      <c r="O582" s="160" t="s">
        <v>1067</v>
      </c>
      <c r="P582" s="160" t="s">
        <v>1059</v>
      </c>
      <c r="Q582" s="160" t="str">
        <f>CONCATENATE(25+(FLOOR(Data!E25/2,1)*5)," ft.")</f>
        <v>25 ft.</v>
      </c>
      <c r="R582" s="162" t="s">
        <v>1332</v>
      </c>
      <c r="S582" s="160" t="s">
        <v>1139</v>
      </c>
      <c r="T582" s="160" t="s">
        <v>1169</v>
      </c>
      <c r="U582" s="160" t="s">
        <v>1217</v>
      </c>
      <c r="V582" s="160" t="s">
        <v>1057</v>
      </c>
    </row>
    <row r="583" spans="2:22" ht="11.25">
      <c r="B583" s="161" t="s">
        <v>1057</v>
      </c>
      <c r="C583" s="161" t="s">
        <v>1057</v>
      </c>
      <c r="D583" s="161" t="s">
        <v>1057</v>
      </c>
      <c r="E583" s="161" t="s">
        <v>1057</v>
      </c>
      <c r="F583" s="161" t="s">
        <v>1057</v>
      </c>
      <c r="G583" s="161" t="s">
        <v>1057</v>
      </c>
      <c r="H583" s="161" t="s">
        <v>1057</v>
      </c>
      <c r="I583" s="161" t="s">
        <v>1057</v>
      </c>
      <c r="J583" s="161">
        <v>7</v>
      </c>
      <c r="K583" s="161">
        <v>7</v>
      </c>
      <c r="L583" s="160" t="s">
        <v>1057</v>
      </c>
      <c r="M583" s="160" t="s">
        <v>571</v>
      </c>
      <c r="N583" s="160" t="s">
        <v>822</v>
      </c>
      <c r="O583" s="160" t="s">
        <v>432</v>
      </c>
      <c r="P583" s="160" t="s">
        <v>1059</v>
      </c>
      <c r="Q583" s="160" t="s">
        <v>817</v>
      </c>
      <c r="R583" s="162" t="s">
        <v>1084</v>
      </c>
      <c r="S583" s="160" t="s">
        <v>1087</v>
      </c>
      <c r="T583" s="160" t="s">
        <v>1061</v>
      </c>
      <c r="U583" s="160" t="s">
        <v>801</v>
      </c>
      <c r="V583" s="160" t="s">
        <v>1241</v>
      </c>
    </row>
    <row r="584" spans="2:22" ht="11.25">
      <c r="B584" s="161" t="s">
        <v>1057</v>
      </c>
      <c r="C584" s="161" t="s">
        <v>1057</v>
      </c>
      <c r="D584" s="161" t="s">
        <v>1057</v>
      </c>
      <c r="E584" s="161" t="s">
        <v>1057</v>
      </c>
      <c r="F584" s="161" t="s">
        <v>1057</v>
      </c>
      <c r="G584" s="161" t="s">
        <v>1057</v>
      </c>
      <c r="H584" s="161" t="s">
        <v>1057</v>
      </c>
      <c r="I584" s="161" t="s">
        <v>1057</v>
      </c>
      <c r="J584" s="161">
        <v>9</v>
      </c>
      <c r="K584" s="161">
        <v>9</v>
      </c>
      <c r="L584" s="160" t="s">
        <v>573</v>
      </c>
      <c r="M584" s="160" t="s">
        <v>572</v>
      </c>
      <c r="N584" s="160" t="s">
        <v>826</v>
      </c>
      <c r="O584" s="160" t="s">
        <v>1104</v>
      </c>
      <c r="P584" s="160" t="s">
        <v>1059</v>
      </c>
      <c r="Q584" s="160" t="str">
        <f>CONCATENATE(25+(FLOOR(Data!E25/2,1)*5)," ft.")</f>
        <v>25 ft.</v>
      </c>
      <c r="R584" s="162" t="str">
        <f>CONCATENATE("Area: ",Data!E25," living creatures within a 40-ft.-radius spread")</f>
        <v>Area: 1 living creatures within a 40-ft.-radius spread</v>
      </c>
      <c r="S584" s="160" t="s">
        <v>1069</v>
      </c>
      <c r="T584" s="160" t="s">
        <v>1090</v>
      </c>
      <c r="U584" s="160" t="s">
        <v>805</v>
      </c>
      <c r="V584" s="160" t="s">
        <v>1057</v>
      </c>
    </row>
    <row r="585" spans="2:22" ht="11.25">
      <c r="B585" s="161">
        <v>4</v>
      </c>
      <c r="C585" s="161" t="s">
        <v>1057</v>
      </c>
      <c r="D585" s="161" t="s">
        <v>1057</v>
      </c>
      <c r="E585" s="161" t="s">
        <v>1057</v>
      </c>
      <c r="F585" s="161" t="s">
        <v>1057</v>
      </c>
      <c r="G585" s="161">
        <v>5</v>
      </c>
      <c r="H585" s="161" t="s">
        <v>1057</v>
      </c>
      <c r="I585" s="161" t="s">
        <v>1057</v>
      </c>
      <c r="J585" s="161">
        <v>4</v>
      </c>
      <c r="K585" s="161">
        <v>4</v>
      </c>
      <c r="L585" s="160" t="s">
        <v>575</v>
      </c>
      <c r="M585" s="160" t="s">
        <v>574</v>
      </c>
      <c r="N585" s="160" t="s">
        <v>1162</v>
      </c>
      <c r="O585" s="160" t="s">
        <v>1064</v>
      </c>
      <c r="P585" s="160" t="s">
        <v>1059</v>
      </c>
      <c r="Q585" s="160" t="str">
        <f>CONCATENATE(100+(10*Data!E25)," ft.")</f>
        <v>110 ft.</v>
      </c>
      <c r="R585" s="162" t="str">
        <f>CONCATENATE("Effect: 20 ft. high, opaque sheet of flame. Wall up to ",Data!E25*20," ft. long or a ring up to ",FLOOR(Data!E25/2,1)*5," ft. radius")</f>
        <v>Effect: 20 ft. high, opaque sheet of flame. Wall up to 20 ft. long or a ring up to 0 ft. radius</v>
      </c>
      <c r="S585" s="160" t="str">
        <f>CONCATENATE("Con. + ",Data!E25," rnds")</f>
        <v>Con. + 1 rnds</v>
      </c>
      <c r="T585" s="160" t="s">
        <v>1061</v>
      </c>
      <c r="U585" s="160" t="s">
        <v>805</v>
      </c>
      <c r="V585" s="160" t="s">
        <v>1057</v>
      </c>
    </row>
    <row r="586" spans="2:22" ht="11.25">
      <c r="B586" s="161" t="s">
        <v>1057</v>
      </c>
      <c r="C586" s="161" t="s">
        <v>1057</v>
      </c>
      <c r="D586" s="161" t="s">
        <v>1057</v>
      </c>
      <c r="E586" s="161" t="s">
        <v>1057</v>
      </c>
      <c r="F586" s="161" t="s">
        <v>1057</v>
      </c>
      <c r="G586" s="161" t="s">
        <v>1057</v>
      </c>
      <c r="H586" s="161" t="s">
        <v>1057</v>
      </c>
      <c r="I586" s="161" t="s">
        <v>1057</v>
      </c>
      <c r="J586" s="161">
        <v>5</v>
      </c>
      <c r="K586" s="161">
        <v>5</v>
      </c>
      <c r="L586" s="160" t="s">
        <v>1057</v>
      </c>
      <c r="M586" s="160" t="s">
        <v>576</v>
      </c>
      <c r="N586" s="160" t="s">
        <v>1162</v>
      </c>
      <c r="O586" s="160" t="s">
        <v>1091</v>
      </c>
      <c r="P586" s="160" t="s">
        <v>1059</v>
      </c>
      <c r="Q586" s="160" t="str">
        <f>CONCATENATE(25+(FLOOR(Data!E25/2,1)*5)," ft.")</f>
        <v>25 ft.</v>
      </c>
      <c r="R586" s="162" t="str">
        <f>CONCATENATE("Effect: Wall whose area is up to ",Data!E25," 10-ft. squares")</f>
        <v>Effect: Wall whose area is up to 1 10-ft. squares</v>
      </c>
      <c r="S586" s="160" t="str">
        <f>CONCATENATE(Data!E25," rnds [D]")</f>
        <v>1 rnds [D]</v>
      </c>
      <c r="T586" s="160" t="s">
        <v>1061</v>
      </c>
      <c r="U586" s="160" t="s">
        <v>801</v>
      </c>
      <c r="V586" s="160" t="s">
        <v>1057</v>
      </c>
    </row>
    <row r="587" spans="2:22" ht="11.25">
      <c r="B587" s="161" t="s">
        <v>1057</v>
      </c>
      <c r="C587" s="161" t="s">
        <v>1057</v>
      </c>
      <c r="D587" s="161" t="s">
        <v>1057</v>
      </c>
      <c r="E587" s="161" t="s">
        <v>1057</v>
      </c>
      <c r="F587" s="161" t="s">
        <v>1057</v>
      </c>
      <c r="G587" s="161" t="s">
        <v>1057</v>
      </c>
      <c r="H587" s="161" t="s">
        <v>1057</v>
      </c>
      <c r="I587" s="161" t="s">
        <v>1057</v>
      </c>
      <c r="J587" s="161">
        <v>4</v>
      </c>
      <c r="K587" s="161">
        <v>4</v>
      </c>
      <c r="L587" s="160" t="s">
        <v>1057</v>
      </c>
      <c r="M587" s="160" t="s">
        <v>577</v>
      </c>
      <c r="N587" s="160" t="s">
        <v>1162</v>
      </c>
      <c r="O587" s="160" t="s">
        <v>1091</v>
      </c>
      <c r="P587" s="160" t="s">
        <v>1059</v>
      </c>
      <c r="Q587" s="160" t="str">
        <f>CONCATENATE(100+(10*Data!E25)," ft.")</f>
        <v>110 ft.</v>
      </c>
      <c r="R587" s="162" t="str">
        <f>CONCATENATE("Effect: Anchored plane of ice, up to ",Data!E25," 10-ft. squares, or hemisphere of ice with a radius of up to ",Data!E25+3," ft.")</f>
        <v>Effect: Anchored plane of ice, up to 1 10-ft. squares, or hemisphere of ice with a radius of up to 4 ft.</v>
      </c>
      <c r="S587" s="160" t="str">
        <f>CONCATENATE(Data!E25," min.")</f>
        <v>1 min.</v>
      </c>
      <c r="T587" s="160" t="s">
        <v>1087</v>
      </c>
      <c r="U587" s="160" t="s">
        <v>805</v>
      </c>
      <c r="V587" s="160" t="s">
        <v>1057</v>
      </c>
    </row>
    <row r="588" spans="2:22" ht="11.25">
      <c r="B588" s="161" t="s">
        <v>1057</v>
      </c>
      <c r="C588" s="161" t="s">
        <v>1057</v>
      </c>
      <c r="D588" s="161" t="s">
        <v>1057</v>
      </c>
      <c r="E588" s="161" t="s">
        <v>1057</v>
      </c>
      <c r="F588" s="161" t="s">
        <v>1057</v>
      </c>
      <c r="G588" s="161" t="s">
        <v>1057</v>
      </c>
      <c r="H588" s="161" t="s">
        <v>1057</v>
      </c>
      <c r="I588" s="161" t="s">
        <v>1057</v>
      </c>
      <c r="J588" s="161">
        <v>6</v>
      </c>
      <c r="K588" s="161">
        <v>6</v>
      </c>
      <c r="L588" s="160" t="s">
        <v>1057</v>
      </c>
      <c r="M588" s="160" t="s">
        <v>578</v>
      </c>
      <c r="N588" s="160" t="s">
        <v>815</v>
      </c>
      <c r="O588" s="160" t="s">
        <v>1091</v>
      </c>
      <c r="P588" s="160" t="s">
        <v>1059</v>
      </c>
      <c r="Q588" s="160" t="str">
        <f>CONCATENATE(100+(10*Data!E25)," ft.")</f>
        <v>110 ft.</v>
      </c>
      <c r="R588" s="162" t="str">
        <f>CONCATENATE("Effect: Iron wall whose area is up to ",Data!E25," 5-ft. squares; see text")</f>
        <v>Effect: Iron wall whose area is up to 1 5-ft. squares; see text</v>
      </c>
      <c r="S588" s="160" t="s">
        <v>1069</v>
      </c>
      <c r="T588" s="160" t="s">
        <v>1087</v>
      </c>
      <c r="U588" s="160" t="s">
        <v>801</v>
      </c>
      <c r="V588" s="160" t="s">
        <v>1136</v>
      </c>
    </row>
    <row r="589" spans="2:22" ht="11.25">
      <c r="B589" s="161">
        <v>5</v>
      </c>
      <c r="C589" s="161" t="s">
        <v>1057</v>
      </c>
      <c r="D589" s="161" t="s">
        <v>1057</v>
      </c>
      <c r="E589" s="161" t="s">
        <v>1057</v>
      </c>
      <c r="F589" s="161">
        <v>5</v>
      </c>
      <c r="G589" s="161">
        <v>6</v>
      </c>
      <c r="H589" s="161" t="s">
        <v>1057</v>
      </c>
      <c r="I589" s="161" t="s">
        <v>1057</v>
      </c>
      <c r="J589" s="161">
        <v>5</v>
      </c>
      <c r="K589" s="161">
        <v>5</v>
      </c>
      <c r="L589" s="160" t="s">
        <v>580</v>
      </c>
      <c r="M589" s="160" t="s">
        <v>579</v>
      </c>
      <c r="N589" s="160" t="s">
        <v>815</v>
      </c>
      <c r="O589" s="160" t="s">
        <v>1064</v>
      </c>
      <c r="P589" s="160" t="s">
        <v>1059</v>
      </c>
      <c r="Q589" s="160" t="str">
        <f>CONCATENATE(100+(10*Data!E25)," ft.")</f>
        <v>110 ft.</v>
      </c>
      <c r="R589" s="162" t="str">
        <f>CONCATENATE("Effect: Stone wall whose area is up to ",Data!E25," 5-ft. squares (S)")</f>
        <v>Effect: Stone wall whose area is up to 1 5-ft. squares (S)</v>
      </c>
      <c r="S589" s="160" t="s">
        <v>1069</v>
      </c>
      <c r="T589" s="160" t="s">
        <v>1087</v>
      </c>
      <c r="U589" s="160" t="s">
        <v>801</v>
      </c>
      <c r="V589" s="160" t="s">
        <v>1057</v>
      </c>
    </row>
    <row r="590" spans="2:22" ht="11.25">
      <c r="B590" s="161" t="s">
        <v>1057</v>
      </c>
      <c r="C590" s="161" t="s">
        <v>1057</v>
      </c>
      <c r="D590" s="161" t="s">
        <v>1057</v>
      </c>
      <c r="E590" s="161" t="s">
        <v>1057</v>
      </c>
      <c r="F590" s="161" t="s">
        <v>1057</v>
      </c>
      <c r="G590" s="161">
        <v>5</v>
      </c>
      <c r="H590" s="161" t="s">
        <v>1057</v>
      </c>
      <c r="I590" s="161" t="s">
        <v>1057</v>
      </c>
      <c r="J590" s="161" t="s">
        <v>1057</v>
      </c>
      <c r="K590" s="161" t="s">
        <v>1057</v>
      </c>
      <c r="L590" s="160" t="s">
        <v>582</v>
      </c>
      <c r="M590" s="160" t="s">
        <v>581</v>
      </c>
      <c r="N590" s="160" t="s">
        <v>815</v>
      </c>
      <c r="O590" s="160" t="s">
        <v>1067</v>
      </c>
      <c r="P590" s="160" t="s">
        <v>1059</v>
      </c>
      <c r="Q590" s="160" t="str">
        <f>CONCATENATE(100+(10*Data!E25)," ft.")</f>
        <v>110 ft.</v>
      </c>
      <c r="R590" s="162" t="str">
        <f>CONCATENATE("Effect: Wall of thorny brush, up to ",Data!E25," 10-ft. cubes (S)")</f>
        <v>Effect: Wall of thorny brush, up to 1 10-ft. cubes (S)</v>
      </c>
      <c r="S590" s="160" t="str">
        <f>CONCATENATE(Data!E25*10," min. [D]")</f>
        <v>10 min. [D]</v>
      </c>
      <c r="T590" s="160" t="s">
        <v>1061</v>
      </c>
      <c r="U590" s="160" t="s">
        <v>801</v>
      </c>
      <c r="V590" s="160" t="s">
        <v>1057</v>
      </c>
    </row>
    <row r="591" spans="2:22" ht="11.25">
      <c r="B591" s="161" t="s">
        <v>1057</v>
      </c>
      <c r="C591" s="161" t="s">
        <v>1057</v>
      </c>
      <c r="D591" s="161" t="s">
        <v>1057</v>
      </c>
      <c r="E591" s="161" t="s">
        <v>1057</v>
      </c>
      <c r="F591" s="161" t="s">
        <v>1057</v>
      </c>
      <c r="G591" s="161">
        <v>2</v>
      </c>
      <c r="H591" s="161" t="s">
        <v>1057</v>
      </c>
      <c r="I591" s="161" t="s">
        <v>1057</v>
      </c>
      <c r="J591" s="161" t="s">
        <v>1057</v>
      </c>
      <c r="K591" s="161" t="s">
        <v>1057</v>
      </c>
      <c r="L591" s="160" t="s">
        <v>1057</v>
      </c>
      <c r="M591" s="160" t="s">
        <v>583</v>
      </c>
      <c r="N591" s="160" t="s">
        <v>811</v>
      </c>
      <c r="O591" s="160" t="s">
        <v>1067</v>
      </c>
      <c r="P591" s="160" t="s">
        <v>1059</v>
      </c>
      <c r="Q591" s="160" t="str">
        <f>CONCATENATE(25+(FLOOR(Data!E25/2,1)*5)," ft.")</f>
        <v>25 ft.</v>
      </c>
      <c r="R591" s="162" t="str">
        <f>CONCATENATE("Target: ",Data!E25," Small wooden objects, all within a 20-ft. radius")</f>
        <v>Target: 1 Small wooden objects, all within a 20-ft. radius</v>
      </c>
      <c r="S591" s="160" t="s">
        <v>1069</v>
      </c>
      <c r="T591" s="160" t="s">
        <v>1169</v>
      </c>
      <c r="U591" s="160" t="s">
        <v>1217</v>
      </c>
      <c r="V591" s="160" t="s">
        <v>1057</v>
      </c>
    </row>
    <row r="592" spans="2:22" ht="11.25">
      <c r="B592" s="161" t="s">
        <v>1057</v>
      </c>
      <c r="C592" s="161" t="s">
        <v>1057</v>
      </c>
      <c r="D592" s="161" t="s">
        <v>1057</v>
      </c>
      <c r="E592" s="161" t="s">
        <v>1057</v>
      </c>
      <c r="F592" s="161">
        <v>3</v>
      </c>
      <c r="G592" s="161">
        <v>3</v>
      </c>
      <c r="H592" s="161" t="s">
        <v>1057</v>
      </c>
      <c r="I592" s="161" t="s">
        <v>1057</v>
      </c>
      <c r="J592" s="161">
        <v>3</v>
      </c>
      <c r="K592" s="161">
        <v>3</v>
      </c>
      <c r="L592" s="160" t="s">
        <v>584</v>
      </c>
      <c r="M592" s="160" t="s">
        <v>910</v>
      </c>
      <c r="N592" s="160" t="s">
        <v>811</v>
      </c>
      <c r="O592" s="160" t="s">
        <v>1064</v>
      </c>
      <c r="P592" s="160" t="s">
        <v>1059</v>
      </c>
      <c r="Q592" s="160" t="s">
        <v>799</v>
      </c>
      <c r="R592" s="162" t="s">
        <v>585</v>
      </c>
      <c r="S592" s="160" t="s">
        <v>1087</v>
      </c>
      <c r="T592" s="160" t="s">
        <v>1153</v>
      </c>
      <c r="U592" s="160" t="s">
        <v>1073</v>
      </c>
      <c r="V592" s="160" t="s">
        <v>1057</v>
      </c>
    </row>
    <row r="593" spans="2:22" ht="11.25">
      <c r="B593" s="161" t="s">
        <v>1057</v>
      </c>
      <c r="C593" s="161" t="s">
        <v>1057</v>
      </c>
      <c r="D593" s="161" t="s">
        <v>1057</v>
      </c>
      <c r="E593" s="161" t="s">
        <v>1057</v>
      </c>
      <c r="F593" s="161">
        <v>3</v>
      </c>
      <c r="G593" s="161" t="s">
        <v>1057</v>
      </c>
      <c r="H593" s="161" t="s">
        <v>1057</v>
      </c>
      <c r="I593" s="161">
        <v>3</v>
      </c>
      <c r="J593" s="161" t="s">
        <v>1057</v>
      </c>
      <c r="K593" s="161" t="s">
        <v>1057</v>
      </c>
      <c r="L593" s="160" t="s">
        <v>1057</v>
      </c>
      <c r="M593" s="160" t="s">
        <v>911</v>
      </c>
      <c r="N593" s="160" t="s">
        <v>811</v>
      </c>
      <c r="O593" s="160" t="s">
        <v>1071</v>
      </c>
      <c r="P593" s="160" t="s">
        <v>1059</v>
      </c>
      <c r="Q593" s="160" t="s">
        <v>799</v>
      </c>
      <c r="R593" s="162" t="str">
        <f>CONCATENATE("Targets: ",Data!E25," touched creatures")</f>
        <v>Targets: 1 touched creatures</v>
      </c>
      <c r="S593" s="160" t="str">
        <f>CONCATENATE(Data!E25*10," min. [D]")</f>
        <v>10 min. [D]</v>
      </c>
      <c r="T593" s="160" t="s">
        <v>1153</v>
      </c>
      <c r="U593" s="160" t="s">
        <v>1073</v>
      </c>
      <c r="V593" s="160" t="s">
        <v>1057</v>
      </c>
    </row>
    <row r="594" spans="2:22" ht="11.25">
      <c r="B594" s="161" t="s">
        <v>1057</v>
      </c>
      <c r="C594" s="161" t="s">
        <v>1057</v>
      </c>
      <c r="D594" s="161" t="s">
        <v>1057</v>
      </c>
      <c r="E594" s="161" t="s">
        <v>1057</v>
      </c>
      <c r="F594" s="161" t="s">
        <v>1057</v>
      </c>
      <c r="G594" s="161" t="s">
        <v>1057</v>
      </c>
      <c r="H594" s="161" t="s">
        <v>1057</v>
      </c>
      <c r="I594" s="161" t="s">
        <v>1057</v>
      </c>
      <c r="J594" s="161">
        <v>7</v>
      </c>
      <c r="K594" s="161">
        <v>7</v>
      </c>
      <c r="L594" s="160" t="s">
        <v>1057</v>
      </c>
      <c r="M594" s="160" t="s">
        <v>586</v>
      </c>
      <c r="N594" s="160" t="s">
        <v>826</v>
      </c>
      <c r="O594" s="160" t="s">
        <v>1067</v>
      </c>
      <c r="P594" s="160" t="s">
        <v>1059</v>
      </c>
      <c r="Q594" s="160" t="s">
        <v>1246</v>
      </c>
      <c r="R594" s="162" t="s">
        <v>1187</v>
      </c>
      <c r="S594" s="160" t="s">
        <v>1069</v>
      </c>
      <c r="T594" s="160" t="s">
        <v>801</v>
      </c>
      <c r="U594" s="160" t="s">
        <v>805</v>
      </c>
      <c r="V594" s="160" t="s">
        <v>1057</v>
      </c>
    </row>
    <row r="595" spans="2:22" ht="11.25">
      <c r="B595" s="161" t="s">
        <v>1057</v>
      </c>
      <c r="C595" s="161" t="s">
        <v>1057</v>
      </c>
      <c r="D595" s="161" t="s">
        <v>1057</v>
      </c>
      <c r="E595" s="161" t="s">
        <v>1057</v>
      </c>
      <c r="F595" s="161" t="s">
        <v>1057</v>
      </c>
      <c r="G595" s="161" t="s">
        <v>1057</v>
      </c>
      <c r="H595" s="161" t="s">
        <v>1057</v>
      </c>
      <c r="I595" s="161" t="s">
        <v>1057</v>
      </c>
      <c r="J595" s="161">
        <v>5</v>
      </c>
      <c r="K595" s="161">
        <v>5</v>
      </c>
      <c r="L595" s="160" t="s">
        <v>1057</v>
      </c>
      <c r="M595" s="160" t="s">
        <v>587</v>
      </c>
      <c r="N595" s="160" t="s">
        <v>826</v>
      </c>
      <c r="O595" s="160" t="s">
        <v>1067</v>
      </c>
      <c r="P595" s="160" t="s">
        <v>1059</v>
      </c>
      <c r="Q595" s="160" t="s">
        <v>1274</v>
      </c>
      <c r="R595" s="162" t="s">
        <v>1187</v>
      </c>
      <c r="S595" s="160" t="s">
        <v>1069</v>
      </c>
      <c r="T595" s="160" t="s">
        <v>801</v>
      </c>
      <c r="U595" s="160" t="s">
        <v>805</v>
      </c>
      <c r="V595" s="160" t="s">
        <v>1057</v>
      </c>
    </row>
    <row r="596" spans="2:22" ht="11.25">
      <c r="B596" s="161">
        <v>2</v>
      </c>
      <c r="C596" s="161" t="s">
        <v>1057</v>
      </c>
      <c r="D596" s="161" t="s">
        <v>1057</v>
      </c>
      <c r="E596" s="161" t="s">
        <v>1057</v>
      </c>
      <c r="F596" s="161" t="s">
        <v>1057</v>
      </c>
      <c r="G596" s="161" t="s">
        <v>1057</v>
      </c>
      <c r="H596" s="161" t="s">
        <v>1057</v>
      </c>
      <c r="I596" s="161" t="s">
        <v>1057</v>
      </c>
      <c r="J596" s="161">
        <v>2</v>
      </c>
      <c r="K596" s="161">
        <v>2</v>
      </c>
      <c r="L596" s="160" t="s">
        <v>1057</v>
      </c>
      <c r="M596" s="160" t="s">
        <v>588</v>
      </c>
      <c r="N596" s="160" t="s">
        <v>815</v>
      </c>
      <c r="O596" s="160" t="s">
        <v>1091</v>
      </c>
      <c r="P596" s="160" t="s">
        <v>1059</v>
      </c>
      <c r="Q596" s="160" t="str">
        <f>CONCATENATE(100+(10*Data!E25)," ft.")</f>
        <v>110 ft.</v>
      </c>
      <c r="R596" s="162" t="s">
        <v>589</v>
      </c>
      <c r="S596" s="160" t="str">
        <f>CONCATENATE(Data!E25*10," min. [D]")</f>
        <v>10 min. [D]</v>
      </c>
      <c r="T596" s="160" t="s">
        <v>1087</v>
      </c>
      <c r="U596" s="160" t="s">
        <v>801</v>
      </c>
      <c r="V596" s="160" t="s">
        <v>1057</v>
      </c>
    </row>
    <row r="597" spans="2:22" ht="11.25">
      <c r="B597" s="161" t="s">
        <v>1057</v>
      </c>
      <c r="C597" s="161" t="s">
        <v>1057</v>
      </c>
      <c r="D597" s="161" t="s">
        <v>1057</v>
      </c>
      <c r="E597" s="161" t="s">
        <v>1057</v>
      </c>
      <c r="F597" s="161" t="s">
        <v>1057</v>
      </c>
      <c r="G597" s="161" t="s">
        <v>1057</v>
      </c>
      <c r="H597" s="161" t="s">
        <v>1057</v>
      </c>
      <c r="I597" s="161" t="s">
        <v>1057</v>
      </c>
      <c r="J597" s="161">
        <v>9</v>
      </c>
      <c r="K597" s="161">
        <v>9</v>
      </c>
      <c r="L597" s="160" t="s">
        <v>1057</v>
      </c>
      <c r="M597" s="160" t="s">
        <v>590</v>
      </c>
      <c r="N597" s="160" t="s">
        <v>1179</v>
      </c>
      <c r="O597" s="160" t="s">
        <v>1067</v>
      </c>
      <c r="P597" s="160" t="s">
        <v>1059</v>
      </c>
      <c r="Q597" s="160" t="str">
        <f>CONCATENATE(100+(10*Data!E25)," ft.")</f>
        <v>110 ft.</v>
      </c>
      <c r="R597" s="162" t="s">
        <v>591</v>
      </c>
      <c r="S597" s="160" t="s">
        <v>1069</v>
      </c>
      <c r="T597" s="160" t="s">
        <v>1087</v>
      </c>
      <c r="U597" s="160" t="s">
        <v>805</v>
      </c>
      <c r="V597" s="160" t="s">
        <v>1057</v>
      </c>
    </row>
    <row r="598" spans="2:22" ht="11.25">
      <c r="B598" s="161" t="s">
        <v>1057</v>
      </c>
      <c r="C598" s="161" t="s">
        <v>1057</v>
      </c>
      <c r="D598" s="161" t="s">
        <v>1057</v>
      </c>
      <c r="E598" s="161" t="s">
        <v>1057</v>
      </c>
      <c r="F598" s="161" t="s">
        <v>1057</v>
      </c>
      <c r="G598" s="161">
        <v>8</v>
      </c>
      <c r="H598" s="161" t="s">
        <v>1057</v>
      </c>
      <c r="I598" s="161" t="s">
        <v>1057</v>
      </c>
      <c r="J598" s="161" t="s">
        <v>1057</v>
      </c>
      <c r="K598" s="161" t="s">
        <v>1057</v>
      </c>
      <c r="L598" s="160" t="s">
        <v>593</v>
      </c>
      <c r="M598" s="160" t="s">
        <v>592</v>
      </c>
      <c r="N598" s="160" t="s">
        <v>1162</v>
      </c>
      <c r="O598" s="160" t="s">
        <v>1071</v>
      </c>
      <c r="P598" s="160" t="s">
        <v>1059</v>
      </c>
      <c r="Q598" s="160" t="str">
        <f>CONCATENATE(400+(40*Data!E25)," ft.")</f>
        <v>440 ft.</v>
      </c>
      <c r="R598" s="162" t="s">
        <v>594</v>
      </c>
      <c r="S598" s="160" t="str">
        <f>CONCATENATE(Data!E25," rnds [D]")</f>
        <v>1 rnds [D]</v>
      </c>
      <c r="T598" s="160" t="s">
        <v>1087</v>
      </c>
      <c r="U598" s="160" t="s">
        <v>805</v>
      </c>
      <c r="V598" s="160" t="s">
        <v>1057</v>
      </c>
    </row>
    <row r="599" spans="2:22" ht="11.25">
      <c r="B599" s="161" t="s">
        <v>1057</v>
      </c>
      <c r="C599" s="161" t="s">
        <v>1057</v>
      </c>
      <c r="D599" s="161">
        <v>2</v>
      </c>
      <c r="E599" s="161" t="s">
        <v>1057</v>
      </c>
      <c r="F599" s="161" t="s">
        <v>1057</v>
      </c>
      <c r="G599" s="161" t="s">
        <v>1057</v>
      </c>
      <c r="H599" s="161" t="s">
        <v>1057</v>
      </c>
      <c r="I599" s="161" t="s">
        <v>1057</v>
      </c>
      <c r="J599" s="161">
        <v>2</v>
      </c>
      <c r="K599" s="161">
        <v>2</v>
      </c>
      <c r="L599" s="160" t="s">
        <v>1057</v>
      </c>
      <c r="M599" s="160" t="s">
        <v>595</v>
      </c>
      <c r="N599" s="160" t="s">
        <v>811</v>
      </c>
      <c r="O599" s="160" t="s">
        <v>1067</v>
      </c>
      <c r="P599" s="160" t="s">
        <v>1059</v>
      </c>
      <c r="Q599" s="160" t="str">
        <f>CONCATENATE(Data!E25," miles")</f>
        <v>1 miles</v>
      </c>
      <c r="R599" s="162" t="s">
        <v>450</v>
      </c>
      <c r="S599" s="160" t="str">
        <f>CONCATENATE(Data!E25," hours or until dis.")</f>
        <v>1 hours or until dis.</v>
      </c>
      <c r="T599" s="160" t="s">
        <v>1061</v>
      </c>
      <c r="U599" s="160" t="s">
        <v>801</v>
      </c>
      <c r="V599" s="160" t="s">
        <v>1057</v>
      </c>
    </row>
    <row r="600" spans="2:22" ht="11.25">
      <c r="B600" s="161" t="s">
        <v>1057</v>
      </c>
      <c r="C600" s="161" t="s">
        <v>1057</v>
      </c>
      <c r="D600" s="161" t="s">
        <v>1057</v>
      </c>
      <c r="E600" s="161" t="s">
        <v>1057</v>
      </c>
      <c r="F600" s="161">
        <v>6</v>
      </c>
      <c r="G600" s="161">
        <v>7</v>
      </c>
      <c r="H600" s="161" t="s">
        <v>1057</v>
      </c>
      <c r="I600" s="161" t="s">
        <v>1057</v>
      </c>
      <c r="J600" s="161" t="s">
        <v>1057</v>
      </c>
      <c r="K600" s="161" t="s">
        <v>1057</v>
      </c>
      <c r="L600" s="160" t="s">
        <v>1057</v>
      </c>
      <c r="M600" s="160" t="s">
        <v>596</v>
      </c>
      <c r="N600" s="160" t="s">
        <v>811</v>
      </c>
      <c r="O600" s="160" t="s">
        <v>1071</v>
      </c>
      <c r="P600" s="160" t="s">
        <v>1059</v>
      </c>
      <c r="Q600" s="160" t="s">
        <v>799</v>
      </c>
      <c r="R600" s="162" t="str">
        <f>CONCATENATE("Targets: You and ",FLOOR(Data!E25/3,1)," touched creatures")</f>
        <v>Targets: You and 0 touched creatures</v>
      </c>
      <c r="S600" s="160" t="s">
        <v>1087</v>
      </c>
      <c r="T600" s="160" t="s">
        <v>597</v>
      </c>
      <c r="U600" s="160" t="s">
        <v>598</v>
      </c>
      <c r="V600" s="160" t="s">
        <v>1057</v>
      </c>
    </row>
    <row r="601" spans="2:22" ht="11.25">
      <c r="B601" s="161" t="s">
        <v>1057</v>
      </c>
      <c r="C601" s="161" t="s">
        <v>1057</v>
      </c>
      <c r="D601" s="161" t="s">
        <v>1057</v>
      </c>
      <c r="E601" s="161" t="s">
        <v>1057</v>
      </c>
      <c r="F601" s="161">
        <v>3</v>
      </c>
      <c r="G601" s="161">
        <v>3</v>
      </c>
      <c r="H601" s="161" t="s">
        <v>1057</v>
      </c>
      <c r="I601" s="161">
        <v>2</v>
      </c>
      <c r="J601" s="161">
        <v>3</v>
      </c>
      <c r="K601" s="161">
        <v>3</v>
      </c>
      <c r="L601" s="160" t="s">
        <v>599</v>
      </c>
      <c r="M601" s="160" t="s">
        <v>912</v>
      </c>
      <c r="N601" s="160" t="s">
        <v>1162</v>
      </c>
      <c r="O601" s="160" t="s">
        <v>1064</v>
      </c>
      <c r="P601" s="160" t="s">
        <v>1059</v>
      </c>
      <c r="Q601" s="160" t="str">
        <f>CONCATENATE(100+(10*Data!E25)," ft.")</f>
        <v>110 ft.</v>
      </c>
      <c r="R601" s="162" t="str">
        <f>CONCATENATE("Effect: Wall up to ",Data!E25*10," ft. long and ",Data!E25*50," ft. high (S)")</f>
        <v>Effect: Wall up to 10 ft. long and 50 ft. high (S)</v>
      </c>
      <c r="S601" s="160" t="str">
        <f>CONCATENATE(Data!E25," rnds")</f>
        <v>1 rnds</v>
      </c>
      <c r="T601" s="160" t="s">
        <v>1087</v>
      </c>
      <c r="U601" s="160" t="s">
        <v>805</v>
      </c>
      <c r="V601" s="160" t="s">
        <v>1057</v>
      </c>
    </row>
    <row r="602" spans="2:22" ht="11.25">
      <c r="B602" s="161" t="s">
        <v>1057</v>
      </c>
      <c r="C602" s="161" t="s">
        <v>1057</v>
      </c>
      <c r="D602" s="161" t="s">
        <v>1057</v>
      </c>
      <c r="E602" s="161" t="s">
        <v>1057</v>
      </c>
      <c r="F602" s="161" t="s">
        <v>1057</v>
      </c>
      <c r="G602" s="161" t="s">
        <v>1057</v>
      </c>
      <c r="H602" s="161" t="s">
        <v>1057</v>
      </c>
      <c r="I602" s="161" t="s">
        <v>1057</v>
      </c>
      <c r="J602" s="161">
        <v>9</v>
      </c>
      <c r="K602" s="161">
        <v>9</v>
      </c>
      <c r="L602" s="160" t="s">
        <v>1057</v>
      </c>
      <c r="M602" s="160" t="s">
        <v>600</v>
      </c>
      <c r="N602" s="160" t="s">
        <v>1123</v>
      </c>
      <c r="O602" s="160" t="s">
        <v>601</v>
      </c>
      <c r="P602" s="160" t="s">
        <v>1059</v>
      </c>
      <c r="Q602" s="160" t="s">
        <v>1087</v>
      </c>
      <c r="R602" s="162" t="s">
        <v>1450</v>
      </c>
      <c r="S602" s="160" t="s">
        <v>1087</v>
      </c>
      <c r="T602" s="160" t="s">
        <v>1087</v>
      </c>
      <c r="U602" s="160" t="s">
        <v>805</v>
      </c>
      <c r="V602" s="160" t="s">
        <v>602</v>
      </c>
    </row>
    <row r="603" spans="2:22" ht="11.25">
      <c r="B603" s="161" t="s">
        <v>1057</v>
      </c>
      <c r="C603" s="161" t="s">
        <v>1057</v>
      </c>
      <c r="D603" s="161" t="s">
        <v>1057</v>
      </c>
      <c r="E603" s="161" t="s">
        <v>1057</v>
      </c>
      <c r="F603" s="161" t="s">
        <v>1057</v>
      </c>
      <c r="G603" s="161">
        <v>2</v>
      </c>
      <c r="H603" s="161" t="s">
        <v>1057</v>
      </c>
      <c r="I603" s="161" t="s">
        <v>1057</v>
      </c>
      <c r="J603" s="161" t="s">
        <v>1057</v>
      </c>
      <c r="K603" s="161" t="s">
        <v>1057</v>
      </c>
      <c r="L603" s="160" t="s">
        <v>1057</v>
      </c>
      <c r="M603" s="160" t="s">
        <v>603</v>
      </c>
      <c r="N603" s="160" t="s">
        <v>811</v>
      </c>
      <c r="O603" s="160" t="s">
        <v>1071</v>
      </c>
      <c r="P603" s="160" t="s">
        <v>1059</v>
      </c>
      <c r="Q603" s="160" t="s">
        <v>799</v>
      </c>
      <c r="R603" s="162" t="str">
        <f>CONCATENATE("Target: One touched piece of wood no larger than ",Data!E25+10," cu. ft.")</f>
        <v>Target: One touched piece of wood no larger than 11 cu. ft.</v>
      </c>
      <c r="S603" s="160" t="s">
        <v>1069</v>
      </c>
      <c r="T603" s="160" t="s">
        <v>1169</v>
      </c>
      <c r="U603" s="160" t="s">
        <v>1217</v>
      </c>
      <c r="V603" s="160" t="s">
        <v>1057</v>
      </c>
    </row>
    <row r="604" spans="2:22" ht="11.25">
      <c r="B604" s="161" t="s">
        <v>1057</v>
      </c>
      <c r="C604" s="161" t="s">
        <v>1057</v>
      </c>
      <c r="D604" s="161" t="s">
        <v>1057</v>
      </c>
      <c r="E604" s="161" t="s">
        <v>1057</v>
      </c>
      <c r="F604" s="161">
        <v>7</v>
      </c>
      <c r="G604" s="161" t="s">
        <v>1057</v>
      </c>
      <c r="H604" s="161" t="s">
        <v>1057</v>
      </c>
      <c r="I604" s="161" t="s">
        <v>1057</v>
      </c>
      <c r="J604" s="161" t="s">
        <v>1057</v>
      </c>
      <c r="K604" s="161" t="s">
        <v>1057</v>
      </c>
      <c r="L604" s="160" t="s">
        <v>605</v>
      </c>
      <c r="M604" s="160" t="s">
        <v>604</v>
      </c>
      <c r="N604" s="160" t="s">
        <v>1162</v>
      </c>
      <c r="O604" s="160" t="s">
        <v>1104</v>
      </c>
      <c r="P604" s="160" t="s">
        <v>1059</v>
      </c>
      <c r="Q604" s="160" t="s">
        <v>1165</v>
      </c>
      <c r="R604" s="162" t="s">
        <v>606</v>
      </c>
      <c r="S604" s="160" t="s">
        <v>1069</v>
      </c>
      <c r="T604" s="160" t="s">
        <v>1087</v>
      </c>
      <c r="U604" s="160" t="s">
        <v>805</v>
      </c>
      <c r="V604" s="160" t="s">
        <v>1057</v>
      </c>
    </row>
    <row r="605" spans="2:22" ht="11.25">
      <c r="B605" s="161" t="s">
        <v>1057</v>
      </c>
      <c r="C605" s="161" t="s">
        <v>1057</v>
      </c>
      <c r="D605" s="161" t="s">
        <v>1057</v>
      </c>
      <c r="E605" s="161" t="s">
        <v>1057</v>
      </c>
      <c r="F605" s="161">
        <v>6</v>
      </c>
      <c r="G605" s="161">
        <v>8</v>
      </c>
      <c r="H605" s="161" t="s">
        <v>1057</v>
      </c>
      <c r="I605" s="161" t="s">
        <v>1057</v>
      </c>
      <c r="J605" s="161" t="s">
        <v>1057</v>
      </c>
      <c r="L605" s="160" t="s">
        <v>1057</v>
      </c>
      <c r="M605" s="160" t="s">
        <v>607</v>
      </c>
      <c r="N605" s="160" t="s">
        <v>815</v>
      </c>
      <c r="O605" s="160" t="s">
        <v>1104</v>
      </c>
      <c r="P605" s="160" t="s">
        <v>1059</v>
      </c>
      <c r="Q605" s="160" t="s">
        <v>1119</v>
      </c>
      <c r="R605" s="162" t="s">
        <v>608</v>
      </c>
      <c r="S605" s="160" t="s">
        <v>1069</v>
      </c>
      <c r="T605" s="160" t="s">
        <v>609</v>
      </c>
      <c r="U605" s="160" t="s">
        <v>610</v>
      </c>
      <c r="V605" s="160" t="s">
        <v>1057</v>
      </c>
    </row>
    <row r="606" spans="2:22" ht="11.25">
      <c r="B606" s="161" t="s">
        <v>1057</v>
      </c>
      <c r="C606" s="161" t="s">
        <v>1057</v>
      </c>
      <c r="D606" s="161">
        <v>4</v>
      </c>
      <c r="E606" s="161" t="s">
        <v>1057</v>
      </c>
      <c r="F606" s="161" t="s">
        <v>1057</v>
      </c>
      <c r="G606" s="161" t="s">
        <v>1057</v>
      </c>
      <c r="H606" s="161" t="s">
        <v>1057</v>
      </c>
      <c r="I606" s="161" t="s">
        <v>1057</v>
      </c>
      <c r="J606" s="161" t="s">
        <v>1057</v>
      </c>
      <c r="K606" s="161" t="s">
        <v>1057</v>
      </c>
      <c r="L606" s="160" t="s">
        <v>1057</v>
      </c>
      <c r="M606" s="160" t="s">
        <v>611</v>
      </c>
      <c r="N606" s="160" t="s">
        <v>1179</v>
      </c>
      <c r="O606" s="160" t="s">
        <v>1067</v>
      </c>
      <c r="P606" s="160" t="s">
        <v>1108</v>
      </c>
      <c r="Q606" s="160" t="s">
        <v>817</v>
      </c>
      <c r="R606" s="162" t="s">
        <v>612</v>
      </c>
      <c r="S606" s="160" t="str">
        <f>CONCATENATE(Data!E25," hours [D]")</f>
        <v>1 hours [D]</v>
      </c>
      <c r="T606" s="160" t="s">
        <v>1061</v>
      </c>
      <c r="U606" s="160" t="s">
        <v>801</v>
      </c>
      <c r="V606" s="160" t="s">
        <v>1057</v>
      </c>
    </row>
    <row r="607" spans="2:22" ht="11.25">
      <c r="B607" s="161" t="s">
        <v>1057</v>
      </c>
      <c r="C607" s="161" t="s">
        <v>1057</v>
      </c>
      <c r="D607" s="161" t="s">
        <v>1057</v>
      </c>
      <c r="E607" s="161" t="s">
        <v>1057</v>
      </c>
      <c r="F607" s="161">
        <v>2</v>
      </c>
      <c r="G607" s="161" t="s">
        <v>1057</v>
      </c>
      <c r="H607" s="161">
        <v>2</v>
      </c>
      <c r="I607" s="161" t="s">
        <v>1057</v>
      </c>
      <c r="J607" s="161" t="s">
        <v>1057</v>
      </c>
      <c r="K607" s="161" t="s">
        <v>1057</v>
      </c>
      <c r="L607" s="160" t="s">
        <v>1057</v>
      </c>
      <c r="M607" s="160" t="s">
        <v>879</v>
      </c>
      <c r="N607" s="160" t="s">
        <v>804</v>
      </c>
      <c r="O607" s="160" t="s">
        <v>1071</v>
      </c>
      <c r="P607" s="160" t="s">
        <v>1059</v>
      </c>
      <c r="Q607" s="160" t="str">
        <f>CONCATENATE(25+(FLOOR(Data!E25/2,1)*5)," ft.")</f>
        <v>25 ft.</v>
      </c>
      <c r="R607" s="162" t="s">
        <v>1252</v>
      </c>
      <c r="S607" s="160" t="str">
        <f>CONCATENATE(Data!E25," min.")</f>
        <v>1 min.</v>
      </c>
      <c r="T607" s="160" t="s">
        <v>1141</v>
      </c>
      <c r="U607" s="160" t="s">
        <v>805</v>
      </c>
      <c r="V607" s="160" t="s">
        <v>1057</v>
      </c>
    </row>
    <row r="608" spans="2:10" ht="11.25">
      <c r="B608" s="161"/>
      <c r="G608" s="161"/>
      <c r="H608" s="161"/>
      <c r="J608" s="161"/>
    </row>
    <row r="609" spans="2:10" ht="11.25">
      <c r="B609" s="161"/>
      <c r="G609" s="161"/>
      <c r="H609" s="161"/>
      <c r="J609" s="161"/>
    </row>
  </sheetData>
  <autoFilter ref="A2:V607"/>
  <mergeCells count="1">
    <mergeCell ref="A1:M1"/>
  </mergeCell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tabColor indexed="22"/>
  </sheetPr>
  <dimension ref="A1:AC41"/>
  <sheetViews>
    <sheetView workbookViewId="0" topLeftCell="A1">
      <selection activeCell="E25" sqref="E25:G27"/>
    </sheetView>
  </sheetViews>
  <sheetFormatPr defaultColWidth="9.140625" defaultRowHeight="12.75"/>
  <cols>
    <col min="1" max="1" width="4.421875" style="27" customWidth="1"/>
    <col min="2" max="2" width="8.421875" style="27" bestFit="1" customWidth="1"/>
    <col min="3" max="3" width="4.421875" style="27" customWidth="1"/>
    <col min="4" max="4" width="3.57421875" style="27" customWidth="1"/>
    <col min="5" max="5" width="3.7109375" style="27" customWidth="1"/>
    <col min="6" max="6" width="4.57421875" style="27" customWidth="1"/>
    <col min="7" max="9" width="3.7109375" style="27" customWidth="1"/>
    <col min="10" max="10" width="7.140625" style="27" bestFit="1" customWidth="1"/>
    <col min="11" max="11" width="6.28125" style="27" bestFit="1" customWidth="1"/>
    <col min="12" max="13" width="3.7109375" style="27" customWidth="1"/>
    <col min="14" max="14" width="13.421875" style="27" bestFit="1" customWidth="1"/>
    <col min="15" max="15" width="5.8515625" style="27" bestFit="1" customWidth="1"/>
    <col min="16" max="29" width="4.7109375" style="30" customWidth="1"/>
    <col min="30" max="80" width="3.7109375" style="27" customWidth="1"/>
    <col min="81" max="16384" width="9.140625" style="27" customWidth="1"/>
  </cols>
  <sheetData>
    <row r="1" spans="1:29" ht="12.75" thickBot="1">
      <c r="A1" s="31" t="s">
        <v>745</v>
      </c>
      <c r="B1" s="23" t="s">
        <v>691</v>
      </c>
      <c r="N1" s="30">
        <v>1</v>
      </c>
      <c r="O1" s="30">
        <v>2</v>
      </c>
      <c r="P1" s="30">
        <v>3</v>
      </c>
      <c r="Q1" s="30">
        <v>4</v>
      </c>
      <c r="R1" s="30">
        <v>5</v>
      </c>
      <c r="S1" s="30">
        <v>6</v>
      </c>
      <c r="T1" s="30">
        <v>7</v>
      </c>
      <c r="U1" s="30">
        <v>8</v>
      </c>
      <c r="V1" s="30">
        <v>9</v>
      </c>
      <c r="W1" s="30">
        <v>10</v>
      </c>
      <c r="X1" s="30">
        <v>11</v>
      </c>
      <c r="Y1" s="30">
        <v>12</v>
      </c>
      <c r="Z1" s="30">
        <v>13</v>
      </c>
      <c r="AA1" s="30">
        <v>14</v>
      </c>
      <c r="AB1" s="30">
        <v>15</v>
      </c>
      <c r="AC1" s="30">
        <v>16</v>
      </c>
    </row>
    <row r="2" spans="1:29" ht="12">
      <c r="A2" s="3">
        <v>11</v>
      </c>
      <c r="B2" s="3">
        <v>115</v>
      </c>
      <c r="D2" s="690" t="s">
        <v>203</v>
      </c>
      <c r="E2" s="691"/>
      <c r="F2" s="691"/>
      <c r="G2" s="691"/>
      <c r="H2" s="691"/>
      <c r="I2" s="691"/>
      <c r="J2" s="691"/>
      <c r="K2" s="691"/>
      <c r="L2" s="692"/>
      <c r="N2" s="1" t="s">
        <v>777</v>
      </c>
      <c r="O2" s="28" t="s">
        <v>628</v>
      </c>
      <c r="P2" s="30" t="s">
        <v>652</v>
      </c>
      <c r="Q2" s="30" t="s">
        <v>783</v>
      </c>
      <c r="R2" s="30" t="s">
        <v>787</v>
      </c>
      <c r="S2" s="30" t="s">
        <v>788</v>
      </c>
      <c r="T2" s="30" t="s">
        <v>789</v>
      </c>
      <c r="U2" s="30" t="s">
        <v>790</v>
      </c>
      <c r="V2" s="30" t="s">
        <v>793</v>
      </c>
      <c r="W2" s="30" t="s">
        <v>664</v>
      </c>
      <c r="X2" s="76" t="s">
        <v>983</v>
      </c>
      <c r="Y2" s="76" t="s">
        <v>984</v>
      </c>
      <c r="Z2" s="45"/>
      <c r="AA2" s="45"/>
      <c r="AB2" s="45"/>
      <c r="AC2" s="31" t="s">
        <v>935</v>
      </c>
    </row>
    <row r="3" spans="1:29" ht="12">
      <c r="A3" s="3">
        <v>12</v>
      </c>
      <c r="B3" s="3">
        <v>130</v>
      </c>
      <c r="D3" s="693"/>
      <c r="E3" s="694"/>
      <c r="F3" s="694"/>
      <c r="G3" s="694"/>
      <c r="H3" s="694"/>
      <c r="I3" s="694"/>
      <c r="J3" s="694"/>
      <c r="K3" s="694"/>
      <c r="L3" s="695"/>
      <c r="N3" s="71" t="s">
        <v>758</v>
      </c>
      <c r="O3" s="32" t="s">
        <v>779</v>
      </c>
      <c r="P3" s="33"/>
      <c r="Q3" s="33"/>
      <c r="R3" s="33"/>
      <c r="S3" s="33"/>
      <c r="T3" s="33"/>
      <c r="U3" s="33"/>
      <c r="V3" s="33"/>
      <c r="W3" s="33"/>
      <c r="X3" s="34"/>
      <c r="Y3" s="34"/>
      <c r="Z3" s="33"/>
      <c r="AA3" s="33"/>
      <c r="AB3" s="33"/>
      <c r="AC3" s="37"/>
    </row>
    <row r="4" spans="1:29" ht="12">
      <c r="A4" s="3">
        <v>13</v>
      </c>
      <c r="B4" s="3">
        <v>150</v>
      </c>
      <c r="D4" s="693"/>
      <c r="E4" s="694"/>
      <c r="F4" s="694"/>
      <c r="G4" s="694"/>
      <c r="H4" s="694"/>
      <c r="I4" s="694"/>
      <c r="J4" s="694"/>
      <c r="K4" s="694"/>
      <c r="L4" s="695"/>
      <c r="N4" s="29" t="s">
        <v>753</v>
      </c>
      <c r="O4" s="3" t="s">
        <v>779</v>
      </c>
      <c r="P4" s="34"/>
      <c r="Q4" s="34"/>
      <c r="R4" s="34"/>
      <c r="S4" s="34"/>
      <c r="T4" s="34"/>
      <c r="U4" s="34"/>
      <c r="V4" s="34"/>
      <c r="W4" s="34"/>
      <c r="X4" s="34"/>
      <c r="Y4" s="34"/>
      <c r="Z4" s="34"/>
      <c r="AA4" s="34"/>
      <c r="AB4" s="34"/>
      <c r="AC4" s="38"/>
    </row>
    <row r="5" spans="1:29" ht="12.75" thickBot="1">
      <c r="A5" s="3">
        <v>14</v>
      </c>
      <c r="B5" s="3">
        <v>175</v>
      </c>
      <c r="D5" s="696"/>
      <c r="E5" s="697"/>
      <c r="F5" s="697"/>
      <c r="G5" s="697"/>
      <c r="H5" s="697"/>
      <c r="I5" s="697"/>
      <c r="J5" s="697"/>
      <c r="K5" s="697"/>
      <c r="L5" s="698"/>
      <c r="N5" s="29" t="s">
        <v>754</v>
      </c>
      <c r="O5" s="3" t="s">
        <v>779</v>
      </c>
      <c r="P5" s="34"/>
      <c r="Q5" s="34"/>
      <c r="R5" s="34"/>
      <c r="S5" s="34"/>
      <c r="T5" s="34">
        <v>2</v>
      </c>
      <c r="U5" s="34"/>
      <c r="V5" s="34">
        <v>2</v>
      </c>
      <c r="W5" s="34">
        <v>2</v>
      </c>
      <c r="X5" s="34"/>
      <c r="Y5" s="34"/>
      <c r="Z5" s="34"/>
      <c r="AA5" s="34"/>
      <c r="AB5" s="34"/>
      <c r="AC5" s="38"/>
    </row>
    <row r="6" spans="1:29" ht="12">
      <c r="A6" s="3">
        <v>15</v>
      </c>
      <c r="B6" s="3">
        <v>200</v>
      </c>
      <c r="D6" s="3"/>
      <c r="E6" s="3"/>
      <c r="F6" s="3"/>
      <c r="G6" s="201"/>
      <c r="H6" s="201"/>
      <c r="I6" s="3"/>
      <c r="J6" s="3"/>
      <c r="K6" s="3"/>
      <c r="L6" s="3"/>
      <c r="N6" s="72" t="s">
        <v>755</v>
      </c>
      <c r="O6" s="35" t="s">
        <v>780</v>
      </c>
      <c r="P6" s="34"/>
      <c r="Q6" s="34"/>
      <c r="R6" s="34"/>
      <c r="S6" s="34"/>
      <c r="T6" s="34">
        <v>2</v>
      </c>
      <c r="U6" s="34"/>
      <c r="V6" s="34"/>
      <c r="W6" s="34"/>
      <c r="X6" s="34"/>
      <c r="Y6" s="34"/>
      <c r="Z6" s="34"/>
      <c r="AA6" s="34"/>
      <c r="AB6" s="34"/>
      <c r="AC6" s="38"/>
    </row>
    <row r="7" spans="1:29" ht="12">
      <c r="A7" s="3">
        <v>16</v>
      </c>
      <c r="B7" s="3">
        <v>230</v>
      </c>
      <c r="F7" s="3" t="s">
        <v>751</v>
      </c>
      <c r="G7" s="3"/>
      <c r="H7" s="3"/>
      <c r="J7" s="3">
        <f>IF(size="Tiny",2,IF(size="Small",1,IF(size="Large",-1,IF(size="Huge",-2,0))))</f>
        <v>0</v>
      </c>
      <c r="K7" s="3"/>
      <c r="L7" s="3"/>
      <c r="N7" s="29" t="s">
        <v>756</v>
      </c>
      <c r="O7" s="3" t="s">
        <v>780</v>
      </c>
      <c r="P7" s="34"/>
      <c r="Q7" s="34">
        <v>2</v>
      </c>
      <c r="R7" s="34"/>
      <c r="S7" s="34">
        <v>2</v>
      </c>
      <c r="T7" s="34">
        <v>2</v>
      </c>
      <c r="U7" s="34">
        <v>2</v>
      </c>
      <c r="V7" s="34"/>
      <c r="W7" s="34"/>
      <c r="X7" s="34"/>
      <c r="Y7" s="34"/>
      <c r="Z7" s="34"/>
      <c r="AA7" s="34"/>
      <c r="AB7" s="34"/>
      <c r="AC7" s="38"/>
    </row>
    <row r="8" spans="1:29" ht="12">
      <c r="A8" s="3">
        <v>17</v>
      </c>
      <c r="B8" s="27">
        <v>260</v>
      </c>
      <c r="F8" s="3" t="s">
        <v>752</v>
      </c>
      <c r="G8" s="3"/>
      <c r="H8" s="3"/>
      <c r="I8" s="3"/>
      <c r="J8" s="3">
        <f>IF(size="Tiny",0.5,IF(size="Small",0.75,IF(size="Large",2,IF(size="Huge",4,1))))</f>
        <v>1</v>
      </c>
      <c r="K8" s="3"/>
      <c r="L8" s="3"/>
      <c r="N8" s="72" t="s">
        <v>757</v>
      </c>
      <c r="O8" s="35" t="s">
        <v>779</v>
      </c>
      <c r="P8" s="34"/>
      <c r="Q8" s="34"/>
      <c r="R8" s="34"/>
      <c r="S8" s="34"/>
      <c r="T8" s="34">
        <v>1</v>
      </c>
      <c r="U8" s="34"/>
      <c r="V8" s="34">
        <v>1</v>
      </c>
      <c r="W8" s="34">
        <v>1</v>
      </c>
      <c r="X8" s="34">
        <v>2</v>
      </c>
      <c r="Y8" s="34">
        <v>2</v>
      </c>
      <c r="Z8" s="34"/>
      <c r="AA8" s="34"/>
      <c r="AB8" s="34"/>
      <c r="AC8" s="38"/>
    </row>
    <row r="9" spans="1:29" ht="12">
      <c r="A9" s="3">
        <v>18</v>
      </c>
      <c r="B9" s="27">
        <v>300</v>
      </c>
      <c r="F9" s="3"/>
      <c r="G9" s="3"/>
      <c r="H9" s="3"/>
      <c r="I9" s="3"/>
      <c r="J9" s="3"/>
      <c r="K9" s="3"/>
      <c r="L9" s="3"/>
      <c r="N9" s="72" t="s">
        <v>759</v>
      </c>
      <c r="O9" s="35" t="s">
        <v>779</v>
      </c>
      <c r="P9" s="34"/>
      <c r="Q9" s="34"/>
      <c r="R9" s="34"/>
      <c r="S9" s="34"/>
      <c r="T9" s="34"/>
      <c r="U9" s="34"/>
      <c r="V9" s="34"/>
      <c r="W9" s="34"/>
      <c r="X9" s="34"/>
      <c r="Y9" s="34"/>
      <c r="Z9" s="34"/>
      <c r="AA9" s="34"/>
      <c r="AB9" s="34"/>
      <c r="AC9" s="38"/>
    </row>
    <row r="10" spans="1:29" ht="12">
      <c r="A10" s="27">
        <v>19</v>
      </c>
      <c r="B10" s="27">
        <v>350</v>
      </c>
      <c r="F10" s="27" t="s">
        <v>956</v>
      </c>
      <c r="G10" s="3">
        <f>'Character Sheet p2'!AK27</f>
        <v>6</v>
      </c>
      <c r="I10" s="6" t="s">
        <v>959</v>
      </c>
      <c r="J10" s="6" t="s">
        <v>960</v>
      </c>
      <c r="L10" s="3"/>
      <c r="N10" s="72" t="s">
        <v>760</v>
      </c>
      <c r="O10" s="35" t="s">
        <v>779</v>
      </c>
      <c r="P10" s="34"/>
      <c r="Q10" s="34"/>
      <c r="R10" s="34"/>
      <c r="S10" s="34"/>
      <c r="T10" s="34"/>
      <c r="U10" s="34"/>
      <c r="V10" s="34"/>
      <c r="W10" s="34"/>
      <c r="X10" s="34"/>
      <c r="Y10" s="34"/>
      <c r="Z10" s="34"/>
      <c r="AA10" s="34"/>
      <c r="AB10" s="34"/>
      <c r="AC10" s="38"/>
    </row>
    <row r="11" spans="1:29" ht="12">
      <c r="A11" s="27">
        <v>20</v>
      </c>
      <c r="B11" s="27">
        <v>400</v>
      </c>
      <c r="F11" s="27" t="s">
        <v>940</v>
      </c>
      <c r="G11" s="51">
        <f>'Character Sheet p1'!AA19-1</f>
        <v>33</v>
      </c>
      <c r="I11" s="3">
        <f>IF(AND(G10&gt;G11,G10&lt;G12),-3,0)</f>
        <v>0</v>
      </c>
      <c r="J11" s="3">
        <f>IF(AND(G10&gt;G11,G10&lt;G12),3,"")</f>
      </c>
      <c r="L11" s="3"/>
      <c r="N11" s="72" t="s">
        <v>761</v>
      </c>
      <c r="O11" s="35" t="s">
        <v>779</v>
      </c>
      <c r="P11" s="34"/>
      <c r="Q11" s="34"/>
      <c r="R11" s="34"/>
      <c r="S11" s="34"/>
      <c r="T11" s="34"/>
      <c r="U11" s="34"/>
      <c r="V11" s="34"/>
      <c r="W11" s="34"/>
      <c r="X11" s="34"/>
      <c r="Y11" s="34"/>
      <c r="Z11" s="34"/>
      <c r="AA11" s="34"/>
      <c r="AB11" s="34"/>
      <c r="AC11" s="38"/>
    </row>
    <row r="12" spans="1:29" ht="12">
      <c r="A12" s="27">
        <v>21</v>
      </c>
      <c r="B12" s="27">
        <v>460</v>
      </c>
      <c r="F12" s="27" t="s">
        <v>941</v>
      </c>
      <c r="G12" s="51">
        <f>'Character Sheet p1'!AA20-1</f>
        <v>66</v>
      </c>
      <c r="H12" s="3"/>
      <c r="I12" s="3">
        <f>IF(AND(G10&gt;G12),-6,0)</f>
        <v>0</v>
      </c>
      <c r="J12" s="3">
        <f>IF(AND(G10&gt;G12),1,"")</f>
      </c>
      <c r="K12" s="3"/>
      <c r="L12" s="3"/>
      <c r="N12" s="72" t="s">
        <v>762</v>
      </c>
      <c r="O12" s="35" t="s">
        <v>779</v>
      </c>
      <c r="P12" s="34"/>
      <c r="Q12" s="34"/>
      <c r="R12" s="34"/>
      <c r="S12" s="34"/>
      <c r="T12" s="34">
        <v>1</v>
      </c>
      <c r="U12" s="34">
        <v>4</v>
      </c>
      <c r="V12" s="34"/>
      <c r="W12" s="34">
        <v>1</v>
      </c>
      <c r="X12" s="34"/>
      <c r="Y12" s="34"/>
      <c r="Z12" s="34"/>
      <c r="AA12" s="34"/>
      <c r="AB12" s="34"/>
      <c r="AC12" s="38">
        <v>2</v>
      </c>
    </row>
    <row r="13" spans="1:29" ht="12">
      <c r="A13" s="27">
        <v>22</v>
      </c>
      <c r="B13" s="27">
        <v>520</v>
      </c>
      <c r="F13" s="3"/>
      <c r="G13" s="3"/>
      <c r="H13" s="3"/>
      <c r="I13" s="3"/>
      <c r="L13" s="3"/>
      <c r="N13" s="72" t="s">
        <v>763</v>
      </c>
      <c r="O13" s="35" t="s">
        <v>779</v>
      </c>
      <c r="P13" s="34"/>
      <c r="Q13" s="34"/>
      <c r="R13" s="34"/>
      <c r="S13" s="34"/>
      <c r="T13" s="34">
        <v>2</v>
      </c>
      <c r="U13" s="34"/>
      <c r="V13" s="34">
        <v>2</v>
      </c>
      <c r="W13" s="34">
        <v>2</v>
      </c>
      <c r="X13" s="34"/>
      <c r="Y13" s="34"/>
      <c r="Z13" s="34"/>
      <c r="AA13" s="34"/>
      <c r="AB13" s="34"/>
      <c r="AC13" s="38"/>
    </row>
    <row r="14" spans="1:29" ht="12">
      <c r="A14" s="27">
        <v>23</v>
      </c>
      <c r="B14" s="27">
        <v>600</v>
      </c>
      <c r="F14" s="3"/>
      <c r="G14" s="3"/>
      <c r="H14" s="3"/>
      <c r="J14" s="6" t="s">
        <v>691</v>
      </c>
      <c r="L14" s="3"/>
      <c r="N14" s="72" t="s">
        <v>971</v>
      </c>
      <c r="O14" s="35" t="s">
        <v>779</v>
      </c>
      <c r="P14" s="34"/>
      <c r="Q14" s="34"/>
      <c r="R14" s="34"/>
      <c r="S14" s="34"/>
      <c r="T14" s="34">
        <v>2</v>
      </c>
      <c r="U14" s="34"/>
      <c r="V14" s="34">
        <v>2</v>
      </c>
      <c r="W14" s="34">
        <v>2</v>
      </c>
      <c r="X14" s="34"/>
      <c r="Y14" s="34"/>
      <c r="Z14" s="34"/>
      <c r="AA14" s="34"/>
      <c r="AB14" s="34"/>
      <c r="AC14" s="38"/>
    </row>
    <row r="15" spans="1:29" ht="12">
      <c r="A15" s="27">
        <v>24</v>
      </c>
      <c r="B15" s="27">
        <v>700</v>
      </c>
      <c r="F15" s="53" t="s">
        <v>957</v>
      </c>
      <c r="H15" s="27">
        <f>'Character Sheet p1'!C9</f>
        <v>10</v>
      </c>
      <c r="J15" s="3">
        <f>IF(H15&lt;=10,H15*10,VLOOKUP(H15,A2:B41,2,FALSE))</f>
        <v>100</v>
      </c>
      <c r="L15" s="3"/>
      <c r="N15" s="72" t="s">
        <v>784</v>
      </c>
      <c r="O15" s="35" t="s">
        <v>779</v>
      </c>
      <c r="P15" s="34"/>
      <c r="Q15" s="34"/>
      <c r="R15" s="34"/>
      <c r="S15" s="34"/>
      <c r="T15" s="34">
        <v>2</v>
      </c>
      <c r="U15" s="34"/>
      <c r="V15" s="34">
        <v>2</v>
      </c>
      <c r="W15" s="34">
        <v>2</v>
      </c>
      <c r="X15" s="34"/>
      <c r="Y15" s="34"/>
      <c r="Z15" s="34"/>
      <c r="AA15" s="34"/>
      <c r="AB15" s="34"/>
      <c r="AC15" s="38"/>
    </row>
    <row r="16" spans="1:29" ht="12">
      <c r="A16" s="27">
        <v>25</v>
      </c>
      <c r="B16" s="27">
        <v>800</v>
      </c>
      <c r="F16" s="53" t="s">
        <v>958</v>
      </c>
      <c r="H16" s="27">
        <f>'Character Sheet p1'!G9</f>
        <v>0</v>
      </c>
      <c r="J16" s="3">
        <f>IF(H16&lt;=10,H16*10,VLOOKUP(H16,A2:B41,2,FALSE))</f>
        <v>0</v>
      </c>
      <c r="K16" s="3"/>
      <c r="L16" s="3"/>
      <c r="N16" s="29" t="s">
        <v>764</v>
      </c>
      <c r="O16" s="35" t="s">
        <v>779</v>
      </c>
      <c r="P16" s="34"/>
      <c r="Q16" s="34"/>
      <c r="R16" s="34"/>
      <c r="S16" s="34"/>
      <c r="T16" s="34">
        <v>2</v>
      </c>
      <c r="U16" s="34"/>
      <c r="V16" s="34">
        <v>2</v>
      </c>
      <c r="W16" s="34">
        <v>2</v>
      </c>
      <c r="X16" s="34"/>
      <c r="Y16" s="34"/>
      <c r="Z16" s="34"/>
      <c r="AA16" s="34"/>
      <c r="AB16" s="34"/>
      <c r="AC16" s="38"/>
    </row>
    <row r="17" spans="1:29" ht="12">
      <c r="A17" s="27">
        <v>26</v>
      </c>
      <c r="B17" s="27">
        <v>920</v>
      </c>
      <c r="D17" s="1"/>
      <c r="E17" s="3"/>
      <c r="F17" s="3"/>
      <c r="G17" s="3"/>
      <c r="H17" s="3"/>
      <c r="I17" s="3"/>
      <c r="J17" s="3"/>
      <c r="K17" s="3"/>
      <c r="L17" s="3"/>
      <c r="N17" s="72" t="s">
        <v>778</v>
      </c>
      <c r="O17" s="35" t="s">
        <v>779</v>
      </c>
      <c r="P17" s="34"/>
      <c r="Q17" s="34"/>
      <c r="R17" s="34"/>
      <c r="S17" s="34"/>
      <c r="T17" s="34">
        <v>2</v>
      </c>
      <c r="U17" s="34"/>
      <c r="V17" s="34">
        <v>2</v>
      </c>
      <c r="W17" s="34">
        <v>2</v>
      </c>
      <c r="X17" s="34"/>
      <c r="Y17" s="34"/>
      <c r="Z17" s="34"/>
      <c r="AA17" s="34"/>
      <c r="AB17" s="34"/>
      <c r="AC17" s="38">
        <v>2</v>
      </c>
    </row>
    <row r="18" spans="1:29" ht="12">
      <c r="A18" s="27">
        <v>27</v>
      </c>
      <c r="B18" s="27">
        <v>1040</v>
      </c>
      <c r="E18" s="3"/>
      <c r="F18" s="3"/>
      <c r="G18" s="6"/>
      <c r="H18" s="3"/>
      <c r="I18" s="3"/>
      <c r="J18" s="3"/>
      <c r="K18" s="3"/>
      <c r="L18" s="6"/>
      <c r="N18" s="72" t="s">
        <v>765</v>
      </c>
      <c r="O18" s="35" t="s">
        <v>780</v>
      </c>
      <c r="P18" s="34"/>
      <c r="Q18" s="34"/>
      <c r="R18" s="34"/>
      <c r="S18" s="34"/>
      <c r="T18" s="34">
        <v>2</v>
      </c>
      <c r="U18" s="34">
        <v>2</v>
      </c>
      <c r="V18" s="34"/>
      <c r="W18" s="34"/>
      <c r="X18" s="34"/>
      <c r="Y18" s="34"/>
      <c r="Z18" s="34"/>
      <c r="AA18" s="34"/>
      <c r="AB18" s="34"/>
      <c r="AC18" s="38">
        <v>3</v>
      </c>
    </row>
    <row r="19" spans="1:29" ht="12">
      <c r="A19" s="27">
        <v>28</v>
      </c>
      <c r="B19" s="27">
        <v>1200</v>
      </c>
      <c r="C19" s="23"/>
      <c r="E19" s="1"/>
      <c r="G19" s="6"/>
      <c r="H19" s="3"/>
      <c r="I19" s="3"/>
      <c r="J19" s="3"/>
      <c r="K19" s="3"/>
      <c r="L19" s="6"/>
      <c r="N19" s="72" t="s">
        <v>767</v>
      </c>
      <c r="O19" s="35" t="s">
        <v>780</v>
      </c>
      <c r="P19" s="34"/>
      <c r="Q19" s="34">
        <v>2</v>
      </c>
      <c r="R19" s="34"/>
      <c r="S19" s="34">
        <v>2</v>
      </c>
      <c r="T19" s="34">
        <v>2</v>
      </c>
      <c r="U19" s="34">
        <v>2</v>
      </c>
      <c r="V19" s="34"/>
      <c r="W19" s="34"/>
      <c r="X19" s="34"/>
      <c r="Y19" s="34"/>
      <c r="Z19" s="34"/>
      <c r="AA19" s="34"/>
      <c r="AB19" s="34"/>
      <c r="AC19" s="38"/>
    </row>
    <row r="20" spans="1:29" ht="12">
      <c r="A20" s="27">
        <v>29</v>
      </c>
      <c r="B20" s="27">
        <v>1400</v>
      </c>
      <c r="C20" s="3"/>
      <c r="E20" s="3"/>
      <c r="F20" s="30"/>
      <c r="G20" s="6" t="s">
        <v>643</v>
      </c>
      <c r="H20" s="30"/>
      <c r="I20" s="6" t="s">
        <v>626</v>
      </c>
      <c r="J20" s="6"/>
      <c r="K20" s="6"/>
      <c r="L20" s="6"/>
      <c r="N20" s="72" t="s">
        <v>785</v>
      </c>
      <c r="O20" s="35" t="s">
        <v>780</v>
      </c>
      <c r="P20" s="34"/>
      <c r="Q20" s="34">
        <v>2</v>
      </c>
      <c r="R20" s="34"/>
      <c r="S20" s="34">
        <v>2</v>
      </c>
      <c r="T20" s="34">
        <v>2</v>
      </c>
      <c r="U20" s="34">
        <v>2</v>
      </c>
      <c r="V20" s="34"/>
      <c r="W20" s="34"/>
      <c r="X20" s="34"/>
      <c r="Y20" s="34"/>
      <c r="Z20" s="34"/>
      <c r="AA20" s="34"/>
      <c r="AB20" s="34"/>
      <c r="AC20" s="38"/>
    </row>
    <row r="21" spans="1:29" ht="12">
      <c r="A21" s="27">
        <v>30</v>
      </c>
      <c r="B21" s="27">
        <v>1600</v>
      </c>
      <c r="C21" s="3"/>
      <c r="E21" s="3"/>
      <c r="G21" s="79">
        <f>'Character Sheet p1'!AK18</f>
        <v>30</v>
      </c>
      <c r="H21" s="30"/>
      <c r="I21" s="30">
        <f>IF(G21&gt;30,K21,K22)</f>
        <v>0</v>
      </c>
      <c r="J21" s="4" t="s">
        <v>985</v>
      </c>
      <c r="K21" s="165">
        <f>4*ROUNDDOWN((G21-30)/10,0)</f>
        <v>0</v>
      </c>
      <c r="L21" s="6"/>
      <c r="N21" s="72" t="s">
        <v>766</v>
      </c>
      <c r="O21" s="35" t="s">
        <v>780</v>
      </c>
      <c r="P21" s="34"/>
      <c r="Q21" s="34">
        <v>2</v>
      </c>
      <c r="R21" s="34"/>
      <c r="S21" s="34">
        <v>2</v>
      </c>
      <c r="T21" s="34">
        <v>2</v>
      </c>
      <c r="U21" s="34">
        <v>2</v>
      </c>
      <c r="V21" s="34"/>
      <c r="W21" s="34"/>
      <c r="X21" s="34"/>
      <c r="Y21" s="34"/>
      <c r="Z21" s="34"/>
      <c r="AA21" s="34"/>
      <c r="AB21" s="34"/>
      <c r="AC21" s="38"/>
    </row>
    <row r="22" spans="1:29" ht="12">
      <c r="A22" s="27">
        <v>31</v>
      </c>
      <c r="B22" s="27">
        <v>1840</v>
      </c>
      <c r="C22" s="3"/>
      <c r="E22" s="3"/>
      <c r="G22" s="6"/>
      <c r="H22" s="3"/>
      <c r="I22" s="3"/>
      <c r="J22" s="4" t="s">
        <v>986</v>
      </c>
      <c r="K22" s="78">
        <f>-6*ROUNDDOWN((30-G21)/10,0)</f>
        <v>0</v>
      </c>
      <c r="L22" s="6"/>
      <c r="N22" s="72" t="s">
        <v>768</v>
      </c>
      <c r="O22" s="35" t="s">
        <v>779</v>
      </c>
      <c r="P22" s="34"/>
      <c r="Q22" s="34"/>
      <c r="R22" s="34"/>
      <c r="S22" s="34"/>
      <c r="T22" s="34">
        <v>2</v>
      </c>
      <c r="U22" s="34"/>
      <c r="V22" s="34"/>
      <c r="W22" s="34">
        <v>2</v>
      </c>
      <c r="X22" s="34"/>
      <c r="Y22" s="34"/>
      <c r="Z22" s="34"/>
      <c r="AA22" s="34"/>
      <c r="AB22" s="34"/>
      <c r="AC22" s="38">
        <v>1</v>
      </c>
    </row>
    <row r="23" spans="1:29" ht="12">
      <c r="A23" s="27">
        <v>32</v>
      </c>
      <c r="B23" s="27">
        <v>2080</v>
      </c>
      <c r="C23" s="3"/>
      <c r="E23" s="3"/>
      <c r="G23" s="6"/>
      <c r="H23" s="3"/>
      <c r="I23" s="3"/>
      <c r="J23" s="3"/>
      <c r="K23" s="3"/>
      <c r="L23" s="6"/>
      <c r="N23" s="72" t="s">
        <v>769</v>
      </c>
      <c r="O23" s="35" t="s">
        <v>779</v>
      </c>
      <c r="P23" s="34">
        <v>2</v>
      </c>
      <c r="Q23" s="34"/>
      <c r="R23" s="34">
        <v>2</v>
      </c>
      <c r="S23" s="34"/>
      <c r="T23" s="34"/>
      <c r="U23" s="34"/>
      <c r="V23" s="34"/>
      <c r="W23" s="34"/>
      <c r="X23" s="34"/>
      <c r="Y23" s="34"/>
      <c r="Z23" s="34"/>
      <c r="AA23" s="34"/>
      <c r="AB23" s="34"/>
      <c r="AC23" s="38">
        <v>1</v>
      </c>
    </row>
    <row r="24" spans="1:29" ht="12.75" thickBot="1">
      <c r="A24" s="27">
        <v>33</v>
      </c>
      <c r="B24" s="27">
        <v>2400</v>
      </c>
      <c r="C24" s="3"/>
      <c r="E24" s="1" t="s">
        <v>202</v>
      </c>
      <c r="G24" s="6"/>
      <c r="H24" s="3"/>
      <c r="I24" s="3"/>
      <c r="K24" s="3"/>
      <c r="L24" s="6"/>
      <c r="N24" s="72" t="s">
        <v>770</v>
      </c>
      <c r="O24" s="35" t="s">
        <v>779</v>
      </c>
      <c r="P24" s="34"/>
      <c r="Q24" s="34"/>
      <c r="R24" s="34"/>
      <c r="S24" s="34"/>
      <c r="T24" s="34"/>
      <c r="U24" s="34"/>
      <c r="V24" s="34"/>
      <c r="W24" s="34"/>
      <c r="X24" s="34"/>
      <c r="Y24" s="34"/>
      <c r="Z24" s="34"/>
      <c r="AA24" s="34"/>
      <c r="AB24" s="34"/>
      <c r="AC24" s="38">
        <v>1</v>
      </c>
    </row>
    <row r="25" spans="1:29" ht="12">
      <c r="A25" s="27">
        <v>34</v>
      </c>
      <c r="B25" s="27">
        <v>2800</v>
      </c>
      <c r="C25" s="3"/>
      <c r="E25" s="706">
        <v>1</v>
      </c>
      <c r="F25" s="707"/>
      <c r="G25" s="708"/>
      <c r="H25" s="3"/>
      <c r="I25" s="3"/>
      <c r="J25" s="3"/>
      <c r="K25" s="3"/>
      <c r="L25" s="6"/>
      <c r="N25" s="72" t="s">
        <v>771</v>
      </c>
      <c r="O25" s="35" t="s">
        <v>779</v>
      </c>
      <c r="P25" s="34"/>
      <c r="Q25" s="34"/>
      <c r="R25" s="34"/>
      <c r="S25" s="34"/>
      <c r="T25" s="34"/>
      <c r="U25" s="34"/>
      <c r="V25" s="34"/>
      <c r="W25" s="34"/>
      <c r="X25" s="34"/>
      <c r="Y25" s="34"/>
      <c r="Z25" s="34"/>
      <c r="AA25" s="34"/>
      <c r="AB25" s="34"/>
      <c r="AC25" s="38">
        <v>1</v>
      </c>
    </row>
    <row r="26" spans="1:29" ht="12">
      <c r="A26" s="27">
        <v>35</v>
      </c>
      <c r="B26" s="27">
        <v>3200</v>
      </c>
      <c r="E26" s="709"/>
      <c r="F26" s="710"/>
      <c r="G26" s="711"/>
      <c r="N26" s="72" t="s">
        <v>772</v>
      </c>
      <c r="O26" s="35" t="s">
        <v>779</v>
      </c>
      <c r="P26" s="34"/>
      <c r="Q26" s="34"/>
      <c r="R26" s="34"/>
      <c r="S26" s="34"/>
      <c r="T26" s="34"/>
      <c r="U26" s="34"/>
      <c r="V26" s="34"/>
      <c r="W26" s="34"/>
      <c r="X26" s="34"/>
      <c r="Y26" s="34"/>
      <c r="Z26" s="34"/>
      <c r="AA26" s="34"/>
      <c r="AB26" s="34"/>
      <c r="AC26" s="38">
        <v>1</v>
      </c>
    </row>
    <row r="27" spans="1:29" ht="12.75" thickBot="1">
      <c r="A27" s="27">
        <v>36</v>
      </c>
      <c r="B27" s="27">
        <v>3680</v>
      </c>
      <c r="E27" s="712"/>
      <c r="F27" s="713"/>
      <c r="G27" s="714"/>
      <c r="N27" s="72" t="s">
        <v>773</v>
      </c>
      <c r="O27" s="35" t="s">
        <v>779</v>
      </c>
      <c r="P27" s="34"/>
      <c r="Q27" s="34"/>
      <c r="R27" s="34"/>
      <c r="S27" s="34"/>
      <c r="T27" s="34"/>
      <c r="U27" s="34"/>
      <c r="V27" s="34"/>
      <c r="W27" s="34"/>
      <c r="X27" s="34"/>
      <c r="Y27" s="34"/>
      <c r="Z27" s="34"/>
      <c r="AA27" s="34"/>
      <c r="AB27" s="34"/>
      <c r="AC27" s="38">
        <v>1</v>
      </c>
    </row>
    <row r="28" spans="1:29" ht="12">
      <c r="A28" s="27">
        <v>37</v>
      </c>
      <c r="B28" s="27">
        <v>4160</v>
      </c>
      <c r="N28" s="72" t="s">
        <v>786</v>
      </c>
      <c r="O28" s="35" t="s">
        <v>779</v>
      </c>
      <c r="P28" s="34"/>
      <c r="Q28" s="34"/>
      <c r="R28" s="34"/>
      <c r="S28" s="34"/>
      <c r="T28" s="34"/>
      <c r="U28" s="34"/>
      <c r="V28" s="34"/>
      <c r="W28" s="34"/>
      <c r="X28" s="34"/>
      <c r="Y28" s="34"/>
      <c r="Z28" s="34"/>
      <c r="AA28" s="34"/>
      <c r="AB28" s="34"/>
      <c r="AC28" s="38"/>
    </row>
    <row r="29" spans="1:29" ht="12">
      <c r="A29" s="27">
        <v>38</v>
      </c>
      <c r="B29" s="27">
        <v>4800</v>
      </c>
      <c r="J29" s="52"/>
      <c r="N29" s="72" t="s">
        <v>775</v>
      </c>
      <c r="O29" s="35" t="s">
        <v>780</v>
      </c>
      <c r="P29" s="34"/>
      <c r="Q29" s="34"/>
      <c r="R29" s="34"/>
      <c r="S29" s="34"/>
      <c r="T29" s="34"/>
      <c r="U29" s="34">
        <v>4</v>
      </c>
      <c r="V29" s="34"/>
      <c r="W29" s="34"/>
      <c r="X29" s="34"/>
      <c r="Y29" s="34"/>
      <c r="Z29" s="34"/>
      <c r="AA29" s="34"/>
      <c r="AB29" s="34"/>
      <c r="AC29" s="38"/>
    </row>
    <row r="30" spans="1:29" ht="12">
      <c r="A30" s="27">
        <v>39</v>
      </c>
      <c r="B30" s="27">
        <v>5600</v>
      </c>
      <c r="N30" s="72" t="s">
        <v>774</v>
      </c>
      <c r="O30" s="35" t="s">
        <v>779</v>
      </c>
      <c r="P30" s="34"/>
      <c r="Q30" s="34"/>
      <c r="R30" s="34"/>
      <c r="S30" s="34"/>
      <c r="T30" s="34"/>
      <c r="U30" s="34">
        <v>4</v>
      </c>
      <c r="V30" s="34"/>
      <c r="W30" s="34"/>
      <c r="X30" s="34"/>
      <c r="Y30" s="34"/>
      <c r="Z30" s="34"/>
      <c r="AA30" s="34"/>
      <c r="AB30" s="34"/>
      <c r="AC30" s="38"/>
    </row>
    <row r="31" spans="1:29" ht="12">
      <c r="A31" s="27">
        <v>40</v>
      </c>
      <c r="B31" s="27">
        <v>6400</v>
      </c>
      <c r="N31" s="29" t="s">
        <v>781</v>
      </c>
      <c r="O31" s="3" t="s">
        <v>780</v>
      </c>
      <c r="P31" s="34"/>
      <c r="Q31" s="34"/>
      <c r="R31" s="34"/>
      <c r="S31" s="34"/>
      <c r="T31" s="34"/>
      <c r="U31" s="34"/>
      <c r="V31" s="34">
        <v>2</v>
      </c>
      <c r="W31" s="34"/>
      <c r="X31" s="34"/>
      <c r="Y31" s="34"/>
      <c r="Z31" s="34"/>
      <c r="AA31" s="34"/>
      <c r="AB31" s="34"/>
      <c r="AC31" s="38"/>
    </row>
    <row r="32" spans="1:29" ht="12">
      <c r="A32" s="27">
        <v>41</v>
      </c>
      <c r="B32" s="27">
        <v>7360</v>
      </c>
      <c r="N32" s="29" t="s">
        <v>776</v>
      </c>
      <c r="O32" s="3" t="s">
        <v>779</v>
      </c>
      <c r="P32" s="36"/>
      <c r="Q32" s="36"/>
      <c r="R32" s="36"/>
      <c r="S32" s="36"/>
      <c r="T32" s="36"/>
      <c r="U32" s="36"/>
      <c r="V32" s="36"/>
      <c r="W32" s="36"/>
      <c r="X32" s="36"/>
      <c r="Y32" s="36"/>
      <c r="Z32" s="36"/>
      <c r="AA32" s="36"/>
      <c r="AB32" s="36"/>
      <c r="AC32" s="39"/>
    </row>
    <row r="33" spans="1:29" ht="12">
      <c r="A33" s="27">
        <v>42</v>
      </c>
      <c r="B33" s="27">
        <v>8320</v>
      </c>
      <c r="N33" s="29" t="s">
        <v>791</v>
      </c>
      <c r="O33" s="3" t="s">
        <v>792</v>
      </c>
      <c r="P33" s="36"/>
      <c r="Q33" s="36"/>
      <c r="R33" s="36"/>
      <c r="S33" s="36"/>
      <c r="T33" s="36"/>
      <c r="U33" s="36"/>
      <c r="V33" s="36"/>
      <c r="W33" s="36"/>
      <c r="X33" s="36"/>
      <c r="Y33" s="36"/>
      <c r="Z33" s="36"/>
      <c r="AA33" s="36"/>
      <c r="AB33" s="36"/>
      <c r="AC33" s="39">
        <v>4</v>
      </c>
    </row>
    <row r="34" spans="1:29" ht="12">
      <c r="A34" s="27">
        <v>43</v>
      </c>
      <c r="B34" s="27">
        <v>9600</v>
      </c>
      <c r="N34" s="29" t="s">
        <v>782</v>
      </c>
      <c r="O34" s="3" t="s">
        <v>779</v>
      </c>
      <c r="P34" s="36"/>
      <c r="Q34" s="36"/>
      <c r="R34" s="36"/>
      <c r="S34" s="36"/>
      <c r="T34" s="36"/>
      <c r="U34" s="36"/>
      <c r="V34" s="36"/>
      <c r="W34" s="36"/>
      <c r="X34" s="36"/>
      <c r="Y34" s="36"/>
      <c r="Z34" s="36"/>
      <c r="AA34" s="36"/>
      <c r="AB34" s="36"/>
      <c r="AC34" s="39"/>
    </row>
    <row r="35" spans="1:29" ht="12">
      <c r="A35" s="27">
        <v>44</v>
      </c>
      <c r="B35" s="27">
        <v>11200</v>
      </c>
      <c r="M35" s="44" t="s">
        <v>937</v>
      </c>
      <c r="N35" s="40"/>
      <c r="O35" s="40"/>
      <c r="P35" s="41"/>
      <c r="Q35" s="41"/>
      <c r="R35" s="41"/>
      <c r="S35" s="41"/>
      <c r="T35" s="41"/>
      <c r="U35" s="41"/>
      <c r="V35" s="41"/>
      <c r="W35" s="41"/>
      <c r="X35" s="41"/>
      <c r="Y35" s="41"/>
      <c r="Z35" s="41"/>
      <c r="AA35" s="41"/>
      <c r="AB35" s="41"/>
      <c r="AC35" s="41"/>
    </row>
    <row r="36" spans="1:29" ht="12">
      <c r="A36" s="27">
        <v>45</v>
      </c>
      <c r="B36" s="27">
        <v>12800</v>
      </c>
      <c r="N36" s="40"/>
      <c r="O36" s="40"/>
      <c r="P36" s="41"/>
      <c r="Q36" s="41"/>
      <c r="R36" s="41"/>
      <c r="S36" s="41"/>
      <c r="T36" s="41"/>
      <c r="U36" s="41"/>
      <c r="V36" s="41"/>
      <c r="W36" s="41"/>
      <c r="X36" s="41"/>
      <c r="Y36" s="41"/>
      <c r="Z36" s="41"/>
      <c r="AA36" s="41"/>
      <c r="AB36" s="41"/>
      <c r="AC36" s="41"/>
    </row>
    <row r="37" spans="1:2" ht="12">
      <c r="A37" s="27">
        <v>46</v>
      </c>
      <c r="B37" s="27">
        <v>14720</v>
      </c>
    </row>
    <row r="38" spans="1:2" ht="12">
      <c r="A38" s="27">
        <v>47</v>
      </c>
      <c r="B38" s="27">
        <v>16640</v>
      </c>
    </row>
    <row r="39" spans="1:2" ht="12">
      <c r="A39" s="27">
        <v>48</v>
      </c>
      <c r="B39" s="27">
        <v>19200</v>
      </c>
    </row>
    <row r="40" spans="1:8" ht="12">
      <c r="A40" s="27">
        <v>49</v>
      </c>
      <c r="B40" s="27">
        <v>22400</v>
      </c>
      <c r="G40" s="138"/>
      <c r="H40" s="138"/>
    </row>
    <row r="41" spans="1:2" ht="12">
      <c r="A41" s="27">
        <v>50</v>
      </c>
      <c r="B41" s="27">
        <v>25600</v>
      </c>
    </row>
  </sheetData>
  <sheetProtection formatCells="0" formatColumns="0" formatRows="0"/>
  <mergeCells count="3">
    <mergeCell ref="D2:L5"/>
    <mergeCell ref="G6:H6"/>
    <mergeCell ref="E25:G27"/>
  </mergeCell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Rivera</dc:creator>
  <cp:keywords/>
  <dc:description/>
  <cp:lastModifiedBy>home</cp:lastModifiedBy>
  <cp:lastPrinted>2006-05-25T16:10:28Z</cp:lastPrinted>
  <dcterms:created xsi:type="dcterms:W3CDTF">2000-06-12T22:55:55Z</dcterms:created>
  <dcterms:modified xsi:type="dcterms:W3CDTF">2006-05-26T15:45:43Z</dcterms:modified>
  <cp:category/>
  <cp:version/>
  <cp:contentType/>
  <cp:contentStatus/>
</cp:coreProperties>
</file>